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fpgrondbezit.sharepoint.com/Shared Documents/Nils/GPG belangenbehartiging/biobased bouwen/"/>
    </mc:Choice>
  </mc:AlternateContent>
  <xr:revisionPtr revIDLastSave="546" documentId="8_{003768E9-4E1C-4EAB-A00F-B5DB0B99A5DB}" xr6:coauthVersionLast="47" xr6:coauthVersionMax="47" xr10:uidLastSave="{82508EC7-8F84-4DCD-8C62-537AAEAA780D}"/>
  <bookViews>
    <workbookView xWindow="-108" yWindow="-108" windowWidth="23256" windowHeight="12456" xr2:uid="{13E6DE64-6349-2547-954D-71B30A53EFEC}"/>
  </bookViews>
  <sheets>
    <sheet name="Input en resultaat" sheetId="4" r:id="rId1"/>
    <sheet name="Miscanthus" sheetId="1" r:id="rId2"/>
    <sheet name="Zonnekroon" sheetId="2" r:id="rId3"/>
    <sheet name="Hennep" sheetId="3" r:id="rId4"/>
    <sheet name="Graan" sheetId="5" r:id="rId5"/>
    <sheet name="Mais" sheetId="6" r:id="rId6"/>
    <sheet name="Sorghum" sheetId="8" r:id="rId7"/>
    <sheet name="Bamboe" sheetId="7" r:id="rId8"/>
    <sheet name="Pauloniaboom" sheetId="11" r:id="rId9"/>
    <sheet name="Lisdodde" sheetId="10" r:id="rId10"/>
    <sheet name="FEEDBACK" sheetId="9" r:id="rId11"/>
  </sheets>
  <definedNames>
    <definedName name="_xlnm.Print_Area" localSheetId="3">Hennep!$A$1:$Y$51</definedName>
    <definedName name="_xlnm.Print_Area" localSheetId="0">'Input en resultaat'!$C$43:$Y$67</definedName>
    <definedName name="_xlnm.Print_Area" localSheetId="1">Miscanthus!$A$1:$Y$51</definedName>
    <definedName name="_xlnm.Print_Area" localSheetId="2">Zonnekroon!$A$1:$Y$51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4" l="1"/>
  <c r="E31" i="4"/>
  <c r="F31" i="4"/>
  <c r="M31" i="4"/>
  <c r="H9" i="4"/>
  <c r="D30" i="4"/>
  <c r="H7" i="4"/>
  <c r="H8" i="4"/>
  <c r="O25" i="7"/>
  <c r="O24" i="7"/>
  <c r="O23" i="7"/>
  <c r="O22" i="7"/>
  <c r="O21" i="7"/>
  <c r="O17" i="7"/>
  <c r="O18" i="7"/>
  <c r="O19" i="7"/>
  <c r="O20" i="7"/>
  <c r="O16" i="7"/>
  <c r="O15" i="7"/>
  <c r="O14" i="7"/>
  <c r="O13" i="7"/>
  <c r="O12" i="7"/>
  <c r="O11" i="7"/>
  <c r="O10" i="7"/>
  <c r="O9" i="7"/>
  <c r="O8" i="7"/>
  <c r="O5" i="7"/>
  <c r="O6" i="7"/>
  <c r="O7" i="7"/>
  <c r="H87" i="8"/>
  <c r="K87" i="8" s="1"/>
  <c r="H87" i="6"/>
  <c r="J87" i="6" s="1"/>
  <c r="H86" i="5"/>
  <c r="K86" i="5" s="1"/>
  <c r="H83" i="3"/>
  <c r="L83" i="3" s="1"/>
  <c r="O5" i="1"/>
  <c r="H83" i="2"/>
  <c r="F9" i="4"/>
  <c r="F8" i="4"/>
  <c r="G30" i="4" s="1"/>
  <c r="Y7" i="5" s="1"/>
  <c r="I31" i="4" l="1"/>
  <c r="Y19" i="1"/>
  <c r="Y22" i="5"/>
  <c r="Y21" i="5"/>
  <c r="Y6" i="5"/>
  <c r="Y19" i="5"/>
  <c r="Y18" i="5"/>
  <c r="Y17" i="5"/>
  <c r="Y16" i="5"/>
  <c r="Y15" i="5"/>
  <c r="Y14" i="5"/>
  <c r="Y13" i="5"/>
  <c r="Y12" i="5"/>
  <c r="Y11" i="5"/>
  <c r="Y20" i="5"/>
  <c r="Y5" i="5"/>
  <c r="Y10" i="5"/>
  <c r="Y25" i="5"/>
  <c r="Y9" i="5"/>
  <c r="Y24" i="5"/>
  <c r="Y8" i="5"/>
  <c r="Y23" i="5"/>
  <c r="J30" i="4"/>
  <c r="F30" i="4"/>
  <c r="L31" i="4"/>
  <c r="H30" i="4"/>
  <c r="L30" i="4"/>
  <c r="H31" i="4"/>
  <c r="E30" i="4"/>
  <c r="M30" i="4"/>
  <c r="K30" i="4"/>
  <c r="I30" i="4"/>
  <c r="L87" i="6"/>
  <c r="L87" i="8"/>
  <c r="J87" i="8"/>
  <c r="K87" i="6"/>
  <c r="J86" i="5"/>
  <c r="L86" i="5"/>
  <c r="J83" i="3"/>
  <c r="K83" i="3"/>
  <c r="L83" i="2"/>
  <c r="K83" i="2"/>
  <c r="J83" i="2"/>
  <c r="Y7" i="1" l="1"/>
  <c r="Y22" i="1"/>
  <c r="Y21" i="1"/>
  <c r="Y6" i="1"/>
  <c r="Y5" i="1"/>
  <c r="Y23" i="1"/>
  <c r="Y18" i="1"/>
  <c r="Y8" i="1"/>
  <c r="Y9" i="1"/>
  <c r="Y20" i="1"/>
  <c r="Y24" i="1"/>
  <c r="Y25" i="1"/>
  <c r="Y11" i="1"/>
  <c r="Y10" i="1"/>
  <c r="Y12" i="1"/>
  <c r="Y13" i="1"/>
  <c r="Y14" i="1"/>
  <c r="Y15" i="1"/>
  <c r="Y16" i="1"/>
  <c r="Y17" i="1"/>
  <c r="Z6" i="7"/>
  <c r="Z22" i="7"/>
  <c r="Z7" i="7"/>
  <c r="Z23" i="7"/>
  <c r="Z8" i="7"/>
  <c r="Z24" i="7"/>
  <c r="Z21" i="7"/>
  <c r="Z9" i="7"/>
  <c r="Z25" i="7"/>
  <c r="Z10" i="7"/>
  <c r="Z5" i="7"/>
  <c r="Z11" i="7"/>
  <c r="Z19" i="7"/>
  <c r="Z12" i="7"/>
  <c r="Z13" i="7"/>
  <c r="Z14" i="7"/>
  <c r="Z15" i="7"/>
  <c r="Z16" i="7"/>
  <c r="Z17" i="7"/>
  <c r="Z18" i="7"/>
  <c r="Z20" i="7"/>
  <c r="Y19" i="3"/>
  <c r="Y20" i="3"/>
  <c r="Y21" i="3"/>
  <c r="Y22" i="3"/>
  <c r="Y17" i="3"/>
  <c r="Y7" i="3"/>
  <c r="Y23" i="3"/>
  <c r="Y8" i="3"/>
  <c r="Y24" i="3"/>
  <c r="Y9" i="3"/>
  <c r="Y25" i="3"/>
  <c r="Y16" i="3"/>
  <c r="Y10" i="3"/>
  <c r="Y5" i="3"/>
  <c r="Y11" i="3"/>
  <c r="Y6" i="3"/>
  <c r="Y12" i="3"/>
  <c r="Y13" i="3"/>
  <c r="Y14" i="3"/>
  <c r="Y15" i="3"/>
  <c r="Y18" i="3"/>
  <c r="Y17" i="8"/>
  <c r="Y18" i="8"/>
  <c r="Y19" i="8"/>
  <c r="Y20" i="8"/>
  <c r="Y21" i="8"/>
  <c r="Y6" i="8"/>
  <c r="Y22" i="8"/>
  <c r="Y7" i="8"/>
  <c r="Y23" i="8"/>
  <c r="Y8" i="8"/>
  <c r="Y24" i="8"/>
  <c r="Y14" i="8"/>
  <c r="Y9" i="8"/>
  <c r="Y25" i="8"/>
  <c r="Y16" i="8"/>
  <c r="Y10" i="8"/>
  <c r="Y5" i="8"/>
  <c r="Y11" i="8"/>
  <c r="Y12" i="8"/>
  <c r="Y15" i="8"/>
  <c r="Y13" i="8"/>
  <c r="Y13" i="2"/>
  <c r="Y14" i="2"/>
  <c r="Y15" i="2"/>
  <c r="Y16" i="2"/>
  <c r="Y17" i="2"/>
  <c r="Y18" i="2"/>
  <c r="Y19" i="2"/>
  <c r="Y11" i="2"/>
  <c r="Y20" i="2"/>
  <c r="Y12" i="2"/>
  <c r="Y21" i="2"/>
  <c r="Y6" i="2"/>
  <c r="Y22" i="2"/>
  <c r="Y25" i="2"/>
  <c r="Y10" i="2"/>
  <c r="Y7" i="2"/>
  <c r="Y23" i="2"/>
  <c r="Y9" i="2"/>
  <c r="Y8" i="2"/>
  <c r="Y24" i="2"/>
  <c r="Y5" i="2"/>
  <c r="Y12" i="6"/>
  <c r="Y13" i="6"/>
  <c r="Y5" i="6"/>
  <c r="Y14" i="6"/>
  <c r="Y15" i="6"/>
  <c r="Y11" i="6"/>
  <c r="Y16" i="6"/>
  <c r="Y9" i="6"/>
  <c r="Y17" i="6"/>
  <c r="Y18" i="6"/>
  <c r="Y19" i="6"/>
  <c r="Y20" i="6"/>
  <c r="Y25" i="6"/>
  <c r="Y21" i="6"/>
  <c r="Y10" i="6"/>
  <c r="Y6" i="6"/>
  <c r="Y22" i="6"/>
  <c r="Y7" i="6"/>
  <c r="Y23" i="6"/>
  <c r="Y8" i="6"/>
  <c r="Y24" i="6"/>
  <c r="H125" i="5"/>
  <c r="M27" i="4"/>
  <c r="X2" i="8" s="1"/>
  <c r="L27" i="4"/>
  <c r="K27" i="4"/>
  <c r="H27" i="4"/>
  <c r="G27" i="4"/>
  <c r="F27" i="4"/>
  <c r="E27" i="4"/>
  <c r="D27" i="4"/>
  <c r="K28" i="4"/>
  <c r="V3" i="8" s="1"/>
  <c r="H81" i="8"/>
  <c r="H80" i="8"/>
  <c r="H76" i="3"/>
  <c r="H77" i="2"/>
  <c r="H84" i="2" s="1"/>
  <c r="M28" i="4"/>
  <c r="W3" i="7" s="1"/>
  <c r="E28" i="4"/>
  <c r="D28" i="4"/>
  <c r="M26" i="4"/>
  <c r="Y3" i="7" s="1"/>
  <c r="E26" i="4"/>
  <c r="F26" i="4"/>
  <c r="K26" i="4" s="1"/>
  <c r="D26" i="4"/>
  <c r="U8" i="7"/>
  <c r="H123" i="5"/>
  <c r="H121" i="5"/>
  <c r="H119" i="5"/>
  <c r="H118" i="5"/>
  <c r="H117" i="5"/>
  <c r="H116" i="5"/>
  <c r="H115" i="5"/>
  <c r="H114" i="5"/>
  <c r="H112" i="5"/>
  <c r="H111" i="5"/>
  <c r="H110" i="5"/>
  <c r="H109" i="5"/>
  <c r="H108" i="5"/>
  <c r="H107" i="5"/>
  <c r="H103" i="5"/>
  <c r="H102" i="5"/>
  <c r="H100" i="5"/>
  <c r="H99" i="5"/>
  <c r="I12" i="4"/>
  <c r="V2" i="8"/>
  <c r="R6" i="8"/>
  <c r="R7" i="8"/>
  <c r="R8" i="8"/>
  <c r="R9" i="8" s="1"/>
  <c r="R10" i="8" s="1"/>
  <c r="R11" i="8" s="1"/>
  <c r="R12" i="8" s="1"/>
  <c r="R13" i="8" s="1"/>
  <c r="R14" i="8" s="1"/>
  <c r="R15" i="8" s="1"/>
  <c r="R16" i="8" s="1"/>
  <c r="R17" i="8" s="1"/>
  <c r="R18" i="8" s="1"/>
  <c r="R19" i="8" s="1"/>
  <c r="R20" i="8" s="1"/>
  <c r="R21" i="8" s="1"/>
  <c r="R22" i="8" s="1"/>
  <c r="R23" i="8" s="1"/>
  <c r="R24" i="8" s="1"/>
  <c r="R25" i="8" s="1"/>
  <c r="R5" i="8"/>
  <c r="Q6" i="8"/>
  <c r="Q7" i="8"/>
  <c r="Q8" i="8"/>
  <c r="Q9" i="8" s="1"/>
  <c r="Q5" i="8"/>
  <c r="W5" i="8" s="1"/>
  <c r="H70" i="8"/>
  <c r="H69" i="8"/>
  <c r="J88" i="6"/>
  <c r="H88" i="6"/>
  <c r="V17" i="7"/>
  <c r="V5" i="7"/>
  <c r="W2" i="7"/>
  <c r="U10" i="7"/>
  <c r="X6" i="7"/>
  <c r="X7" i="7"/>
  <c r="X8" i="7"/>
  <c r="X9" i="7"/>
  <c r="X10" i="7"/>
  <c r="X11" i="7"/>
  <c r="X12" i="7"/>
  <c r="X13" i="7"/>
  <c r="X14" i="7"/>
  <c r="X15" i="7"/>
  <c r="X16" i="7"/>
  <c r="X17" i="7"/>
  <c r="X18" i="7"/>
  <c r="X19" i="7"/>
  <c r="X20" i="7"/>
  <c r="X21" i="7"/>
  <c r="X22" i="7"/>
  <c r="X23" i="7"/>
  <c r="X24" i="7"/>
  <c r="X25" i="7"/>
  <c r="X5" i="7"/>
  <c r="U6" i="7"/>
  <c r="U7" i="7"/>
  <c r="U9" i="7"/>
  <c r="U11" i="7"/>
  <c r="U12" i="7"/>
  <c r="U13" i="7"/>
  <c r="U14" i="7"/>
  <c r="U15" i="7"/>
  <c r="U16" i="7"/>
  <c r="U17" i="7"/>
  <c r="U18" i="7"/>
  <c r="U19" i="7"/>
  <c r="U20" i="7"/>
  <c r="U21" i="7"/>
  <c r="U22" i="7"/>
  <c r="U23" i="7"/>
  <c r="U24" i="7"/>
  <c r="U25" i="7"/>
  <c r="U5" i="7"/>
  <c r="Y2" i="7" l="1"/>
  <c r="X3" i="8"/>
  <c r="G28" i="4"/>
  <c r="G26" i="4"/>
  <c r="H126" i="5"/>
  <c r="V19" i="8"/>
  <c r="Q10" i="8"/>
  <c r="W9" i="8"/>
  <c r="V17" i="8"/>
  <c r="W8" i="8"/>
  <c r="V16" i="8"/>
  <c r="V15" i="8"/>
  <c r="V14" i="8"/>
  <c r="V13" i="8"/>
  <c r="W6" i="8"/>
  <c r="V12" i="8"/>
  <c r="V11" i="8"/>
  <c r="V24" i="8"/>
  <c r="V8" i="8"/>
  <c r="V5" i="8"/>
  <c r="V9" i="8"/>
  <c r="V23" i="8"/>
  <c r="V7" i="8"/>
  <c r="W7" i="8"/>
  <c r="V10" i="8"/>
  <c r="V25" i="8"/>
  <c r="V22" i="8"/>
  <c r="V6" i="8"/>
  <c r="V21" i="8"/>
  <c r="V20" i="8"/>
  <c r="V18" i="8"/>
  <c r="W13" i="7"/>
  <c r="W9" i="7"/>
  <c r="W10" i="7"/>
  <c r="W11" i="7"/>
  <c r="W17" i="7"/>
  <c r="W12" i="7"/>
  <c r="W14" i="7"/>
  <c r="W15" i="7"/>
  <c r="W16" i="7"/>
  <c r="W18" i="7"/>
  <c r="W19" i="7"/>
  <c r="W20" i="7"/>
  <c r="W21" i="7"/>
  <c r="W22" i="7"/>
  <c r="W6" i="7"/>
  <c r="W23" i="7"/>
  <c r="W7" i="7"/>
  <c r="W24" i="7"/>
  <c r="W8" i="7"/>
  <c r="W25" i="7"/>
  <c r="W5" i="7"/>
  <c r="Q11" i="8" l="1"/>
  <c r="W10" i="8"/>
  <c r="Y10" i="7"/>
  <c r="Y6" i="7"/>
  <c r="H85" i="8"/>
  <c r="J85" i="8" s="1"/>
  <c r="H83" i="8"/>
  <c r="J83" i="8" s="1"/>
  <c r="K83" i="8" s="1"/>
  <c r="L83" i="8" s="1"/>
  <c r="J81" i="8"/>
  <c r="K81" i="8" s="1"/>
  <c r="L81" i="8" s="1"/>
  <c r="J80" i="8"/>
  <c r="K80" i="8" s="1"/>
  <c r="L80" i="8" s="1"/>
  <c r="H79" i="8"/>
  <c r="J79" i="8" s="1"/>
  <c r="K79" i="8" s="1"/>
  <c r="L79" i="8" s="1"/>
  <c r="H78" i="8"/>
  <c r="J78" i="8" s="1"/>
  <c r="K78" i="8" s="1"/>
  <c r="L78" i="8" s="1"/>
  <c r="K77" i="8"/>
  <c r="L77" i="8" s="1"/>
  <c r="J77" i="8"/>
  <c r="H77" i="8"/>
  <c r="H76" i="8"/>
  <c r="J76" i="8" s="1"/>
  <c r="H74" i="8"/>
  <c r="J74" i="8" s="1"/>
  <c r="K74" i="8" s="1"/>
  <c r="L74" i="8" s="1"/>
  <c r="H73" i="8"/>
  <c r="J73" i="8" s="1"/>
  <c r="K73" i="8" s="1"/>
  <c r="L73" i="8" s="1"/>
  <c r="H72" i="8"/>
  <c r="J72" i="8" s="1"/>
  <c r="K72" i="8" s="1"/>
  <c r="L72" i="8" s="1"/>
  <c r="H71" i="8"/>
  <c r="J71" i="8" s="1"/>
  <c r="K71" i="8" s="1"/>
  <c r="L71" i="8" s="1"/>
  <c r="J70" i="8"/>
  <c r="K70" i="8" s="1"/>
  <c r="L70" i="8" s="1"/>
  <c r="J69" i="8"/>
  <c r="K69" i="8" s="1"/>
  <c r="L69" i="8" s="1"/>
  <c r="K68" i="8"/>
  <c r="L68" i="8" s="1"/>
  <c r="J68" i="8"/>
  <c r="J67" i="8"/>
  <c r="J65" i="8"/>
  <c r="K65" i="8" s="1"/>
  <c r="L65" i="8" s="1"/>
  <c r="H65" i="8"/>
  <c r="H64" i="8"/>
  <c r="J64" i="8" s="1"/>
  <c r="K64" i="8" s="1"/>
  <c r="L64" i="8" s="1"/>
  <c r="H62" i="8"/>
  <c r="J62" i="8" s="1"/>
  <c r="K62" i="8" s="1"/>
  <c r="L62" i="8" s="1"/>
  <c r="H61" i="8"/>
  <c r="K12" i="4"/>
  <c r="K44" i="4" s="1"/>
  <c r="H79" i="2"/>
  <c r="J79" i="2" s="1"/>
  <c r="K79" i="2" s="1"/>
  <c r="L79" i="2" s="1"/>
  <c r="H79" i="3"/>
  <c r="J79" i="3" s="1"/>
  <c r="K79" i="3" s="1"/>
  <c r="L79" i="3" s="1"/>
  <c r="T5" i="1"/>
  <c r="Q5" i="3"/>
  <c r="T5" i="3" s="1"/>
  <c r="Q6" i="3"/>
  <c r="T6" i="3" s="1"/>
  <c r="Q7" i="3"/>
  <c r="T7" i="3" s="1"/>
  <c r="Q8" i="3"/>
  <c r="T8" i="3" s="1"/>
  <c r="W10" i="6"/>
  <c r="W11" i="6"/>
  <c r="W12" i="6"/>
  <c r="W13" i="6"/>
  <c r="W14" i="6"/>
  <c r="W15" i="6"/>
  <c r="W16" i="6"/>
  <c r="W17" i="6"/>
  <c r="W18" i="6"/>
  <c r="W19" i="6"/>
  <c r="W20" i="6"/>
  <c r="W21" i="6"/>
  <c r="W22" i="6"/>
  <c r="W23" i="6"/>
  <c r="W24" i="6"/>
  <c r="W25" i="6"/>
  <c r="W6" i="6"/>
  <c r="W7" i="6"/>
  <c r="W8" i="6"/>
  <c r="W9" i="6"/>
  <c r="W5" i="6"/>
  <c r="G25" i="6"/>
  <c r="G5" i="6"/>
  <c r="V2" i="3"/>
  <c r="X2" i="3"/>
  <c r="V3" i="3"/>
  <c r="X3" i="3"/>
  <c r="N5" i="6"/>
  <c r="H82" i="5"/>
  <c r="J82" i="5" s="1"/>
  <c r="K82" i="5" s="1"/>
  <c r="L82" i="5" s="1"/>
  <c r="H83" i="6"/>
  <c r="J83" i="6" s="1"/>
  <c r="H80" i="5"/>
  <c r="J80" i="5" s="1"/>
  <c r="K80" i="5" s="1"/>
  <c r="L80" i="5" s="1"/>
  <c r="X2" i="5"/>
  <c r="G25" i="4"/>
  <c r="X3" i="5"/>
  <c r="V3" i="5"/>
  <c r="V2" i="5"/>
  <c r="R5" i="5"/>
  <c r="T5" i="8" s="1"/>
  <c r="Q5" i="5"/>
  <c r="G12" i="4"/>
  <c r="H81" i="6"/>
  <c r="J81" i="6" s="1"/>
  <c r="K81" i="6" s="1"/>
  <c r="L81" i="6" s="1"/>
  <c r="H77" i="6"/>
  <c r="J77" i="6" s="1"/>
  <c r="K77" i="6" s="1"/>
  <c r="L77" i="6" s="1"/>
  <c r="H78" i="6"/>
  <c r="J78" i="6"/>
  <c r="K78" i="6" s="1"/>
  <c r="L78" i="6" s="1"/>
  <c r="H79" i="6"/>
  <c r="J79" i="6" s="1"/>
  <c r="K79" i="6" s="1"/>
  <c r="L79" i="6" s="1"/>
  <c r="H80" i="6"/>
  <c r="J80" i="6" s="1"/>
  <c r="K80" i="6" s="1"/>
  <c r="L80" i="6" s="1"/>
  <c r="H74" i="6"/>
  <c r="J74" i="6" s="1"/>
  <c r="K74" i="6" s="1"/>
  <c r="L74" i="6" s="1"/>
  <c r="H73" i="6"/>
  <c r="J73" i="6" s="1"/>
  <c r="K73" i="6" s="1"/>
  <c r="L73" i="6" s="1"/>
  <c r="H72" i="6"/>
  <c r="J72" i="6" s="1"/>
  <c r="K72" i="6" s="1"/>
  <c r="L72" i="6" s="1"/>
  <c r="H71" i="6"/>
  <c r="J71" i="6" s="1"/>
  <c r="K71" i="6" s="1"/>
  <c r="L71" i="6" s="1"/>
  <c r="H70" i="6"/>
  <c r="J70" i="6" s="1"/>
  <c r="K70" i="6" s="1"/>
  <c r="L70" i="6" s="1"/>
  <c r="H69" i="6"/>
  <c r="J69" i="6" s="1"/>
  <c r="J74" i="5"/>
  <c r="K74" i="5" s="1"/>
  <c r="L74" i="5" s="1"/>
  <c r="H73" i="5"/>
  <c r="J73" i="5" s="1"/>
  <c r="K73" i="5" s="1"/>
  <c r="H70" i="5"/>
  <c r="J70" i="5" s="1"/>
  <c r="H69" i="5"/>
  <c r="J69" i="5" s="1"/>
  <c r="K69" i="5" s="1"/>
  <c r="L69" i="5" s="1"/>
  <c r="H72" i="5"/>
  <c r="J72" i="5" s="1"/>
  <c r="K72" i="5" s="1"/>
  <c r="L72" i="5" s="1"/>
  <c r="H71" i="5"/>
  <c r="J71" i="5" s="1"/>
  <c r="K71" i="5" s="1"/>
  <c r="L71" i="5" s="1"/>
  <c r="H85" i="6"/>
  <c r="J85" i="6" s="1"/>
  <c r="H76" i="6"/>
  <c r="J76" i="6" s="1"/>
  <c r="J68" i="6"/>
  <c r="K68" i="6" s="1"/>
  <c r="L68" i="6" s="1"/>
  <c r="J67" i="6"/>
  <c r="K67" i="6" s="1"/>
  <c r="H65" i="6"/>
  <c r="J65" i="6" s="1"/>
  <c r="K65" i="6" s="1"/>
  <c r="L65" i="6" s="1"/>
  <c r="H64" i="6"/>
  <c r="J64" i="6" s="1"/>
  <c r="K64" i="6" s="1"/>
  <c r="L64" i="6" s="1"/>
  <c r="H62" i="6"/>
  <c r="J62" i="6" s="1"/>
  <c r="K62" i="6" s="1"/>
  <c r="L62" i="6" s="1"/>
  <c r="H61" i="6"/>
  <c r="H77" i="3"/>
  <c r="H62" i="3"/>
  <c r="H84" i="5"/>
  <c r="J84" i="5" s="1"/>
  <c r="H79" i="5"/>
  <c r="J79" i="5" s="1"/>
  <c r="K79" i="5" s="1"/>
  <c r="L79" i="5" s="1"/>
  <c r="H78" i="5"/>
  <c r="J78" i="5" s="1"/>
  <c r="K78" i="5" s="1"/>
  <c r="L78" i="5" s="1"/>
  <c r="H77" i="5"/>
  <c r="J77" i="5" s="1"/>
  <c r="K77" i="5" s="1"/>
  <c r="L77" i="5" s="1"/>
  <c r="H76" i="5"/>
  <c r="J76" i="5" s="1"/>
  <c r="J68" i="5"/>
  <c r="K68" i="5" s="1"/>
  <c r="L68" i="5" s="1"/>
  <c r="J67" i="5"/>
  <c r="K67" i="5" s="1"/>
  <c r="H65" i="5"/>
  <c r="J65" i="5" s="1"/>
  <c r="K65" i="5" s="1"/>
  <c r="L65" i="5" s="1"/>
  <c r="H64" i="5"/>
  <c r="J64" i="5" s="1"/>
  <c r="K64" i="5" s="1"/>
  <c r="L64" i="5" s="1"/>
  <c r="H62" i="5"/>
  <c r="J62" i="5" s="1"/>
  <c r="K62" i="5" s="1"/>
  <c r="L62" i="5" s="1"/>
  <c r="H61" i="5"/>
  <c r="J61" i="5" s="1"/>
  <c r="W5" i="1"/>
  <c r="W5" i="5" l="1"/>
  <c r="X5" i="5" s="1"/>
  <c r="Q6" i="5"/>
  <c r="Q7" i="5" s="1"/>
  <c r="Q8" i="5" s="1"/>
  <c r="Q9" i="5" s="1"/>
  <c r="Q10" i="5" s="1"/>
  <c r="Q11" i="5" s="1"/>
  <c r="Q12" i="5" s="1"/>
  <c r="Q13" i="5" s="1"/>
  <c r="Q14" i="5" s="1"/>
  <c r="Q15" i="5" s="1"/>
  <c r="Q16" i="5" s="1"/>
  <c r="Q17" i="5" s="1"/>
  <c r="Q18" i="5" s="1"/>
  <c r="Q19" i="5" s="1"/>
  <c r="Q20" i="5" s="1"/>
  <c r="Q21" i="5" s="1"/>
  <c r="Q22" i="5" s="1"/>
  <c r="Q23" i="5" s="1"/>
  <c r="Q24" i="5" s="1"/>
  <c r="Q25" i="5" s="1"/>
  <c r="T5" i="5"/>
  <c r="Q12" i="8"/>
  <c r="W11" i="8"/>
  <c r="X11" i="8" s="1"/>
  <c r="R6" i="5"/>
  <c r="T6" i="8" s="1"/>
  <c r="G5" i="8"/>
  <c r="K83" i="6"/>
  <c r="L83" i="6" s="1"/>
  <c r="O5" i="6"/>
  <c r="H5" i="6" s="1"/>
  <c r="F5" i="6" s="1"/>
  <c r="F5" i="7" s="1"/>
  <c r="H88" i="8"/>
  <c r="N5" i="8"/>
  <c r="V18" i="5"/>
  <c r="V17" i="5"/>
  <c r="V16" i="5"/>
  <c r="V15" i="5"/>
  <c r="V19" i="5"/>
  <c r="V14" i="5"/>
  <c r="V13" i="5"/>
  <c r="V12" i="5"/>
  <c r="V11" i="5"/>
  <c r="V10" i="5"/>
  <c r="V20" i="5"/>
  <c r="V25" i="5"/>
  <c r="V9" i="5"/>
  <c r="V24" i="5"/>
  <c r="V8" i="5"/>
  <c r="V23" i="5"/>
  <c r="V7" i="5"/>
  <c r="V22" i="5"/>
  <c r="V6" i="5"/>
  <c r="V21" i="5"/>
  <c r="V5" i="5"/>
  <c r="V23" i="3"/>
  <c r="V7" i="3"/>
  <c r="V22" i="3"/>
  <c r="V6" i="3"/>
  <c r="V25" i="3"/>
  <c r="V8" i="3"/>
  <c r="V21" i="3"/>
  <c r="V5" i="3"/>
  <c r="V9" i="3"/>
  <c r="V20" i="3"/>
  <c r="V19" i="3"/>
  <c r="V18" i="3"/>
  <c r="V17" i="3"/>
  <c r="V16" i="3"/>
  <c r="V15" i="3"/>
  <c r="V14" i="3"/>
  <c r="V13" i="3"/>
  <c r="V12" i="3"/>
  <c r="V11" i="3"/>
  <c r="V10" i="3"/>
  <c r="V24" i="3"/>
  <c r="V13" i="6"/>
  <c r="V12" i="6"/>
  <c r="V11" i="6"/>
  <c r="V14" i="6"/>
  <c r="V10" i="6"/>
  <c r="V25" i="6"/>
  <c r="V9" i="6"/>
  <c r="V24" i="6"/>
  <c r="V8" i="6"/>
  <c r="V23" i="6"/>
  <c r="V7" i="6"/>
  <c r="V15" i="6"/>
  <c r="V22" i="6"/>
  <c r="V6" i="6"/>
  <c r="V21" i="6"/>
  <c r="V5" i="6"/>
  <c r="V20" i="6"/>
  <c r="V19" i="6"/>
  <c r="V18" i="6"/>
  <c r="V17" i="6"/>
  <c r="V16" i="6"/>
  <c r="X5" i="8"/>
  <c r="G5" i="1"/>
  <c r="G5" i="7"/>
  <c r="X6" i="8"/>
  <c r="G25" i="7"/>
  <c r="X9" i="8"/>
  <c r="X10" i="8"/>
  <c r="Y21" i="7"/>
  <c r="Y12" i="7"/>
  <c r="Y13" i="7"/>
  <c r="Y15" i="7"/>
  <c r="Y16" i="7"/>
  <c r="Y17" i="7"/>
  <c r="Y23" i="7"/>
  <c r="Y18" i="7"/>
  <c r="Y19" i="7"/>
  <c r="Y20" i="7"/>
  <c r="Y22" i="7"/>
  <c r="Y8" i="7"/>
  <c r="Y24" i="7"/>
  <c r="N25" i="7"/>
  <c r="Y5" i="7"/>
  <c r="Y14" i="7"/>
  <c r="Y11" i="7"/>
  <c r="Y9" i="7"/>
  <c r="Y25" i="7"/>
  <c r="Y7" i="7"/>
  <c r="O5" i="8"/>
  <c r="K76" i="8"/>
  <c r="K67" i="8"/>
  <c r="J61" i="8"/>
  <c r="X8" i="8"/>
  <c r="X7" i="8"/>
  <c r="G25" i="1"/>
  <c r="G17" i="6"/>
  <c r="G16" i="6"/>
  <c r="G16" i="7" s="1"/>
  <c r="G24" i="6"/>
  <c r="G9" i="6"/>
  <c r="G9" i="7" s="1"/>
  <c r="G8" i="6"/>
  <c r="G8" i="7" s="1"/>
  <c r="G5" i="3"/>
  <c r="G5" i="2"/>
  <c r="G5" i="5"/>
  <c r="G25" i="3"/>
  <c r="G23" i="6"/>
  <c r="G15" i="6"/>
  <c r="G7" i="6"/>
  <c r="G25" i="5"/>
  <c r="Q9" i="3"/>
  <c r="G25" i="2"/>
  <c r="G22" i="6"/>
  <c r="G14" i="6"/>
  <c r="G6" i="6"/>
  <c r="G21" i="6"/>
  <c r="G13" i="6"/>
  <c r="G20" i="6"/>
  <c r="G12" i="6"/>
  <c r="G19" i="6"/>
  <c r="G11" i="6"/>
  <c r="G18" i="6"/>
  <c r="G10" i="6"/>
  <c r="L73" i="5"/>
  <c r="N5" i="5"/>
  <c r="X7" i="6"/>
  <c r="X8" i="6"/>
  <c r="X5" i="6"/>
  <c r="X6" i="6"/>
  <c r="L67" i="6"/>
  <c r="K76" i="6"/>
  <c r="K69" i="6"/>
  <c r="L69" i="6" s="1"/>
  <c r="J61" i="6"/>
  <c r="M5" i="6" s="1"/>
  <c r="K70" i="5"/>
  <c r="L70" i="5" s="1"/>
  <c r="O5" i="5"/>
  <c r="K76" i="5"/>
  <c r="J87" i="5"/>
  <c r="M5" i="5"/>
  <c r="K61" i="5"/>
  <c r="L67" i="5"/>
  <c r="H87" i="5"/>
  <c r="W5" i="3"/>
  <c r="W6" i="3"/>
  <c r="W7" i="3"/>
  <c r="W8" i="3"/>
  <c r="J68" i="3"/>
  <c r="K68" i="3" s="1"/>
  <c r="L68" i="3" s="1"/>
  <c r="J67" i="3"/>
  <c r="K67" i="3" s="1"/>
  <c r="L67" i="3" s="1"/>
  <c r="K77" i="2"/>
  <c r="J68" i="2"/>
  <c r="K68" i="2" s="1"/>
  <c r="L68" i="2" s="1"/>
  <c r="J67" i="2"/>
  <c r="K67" i="2" s="1"/>
  <c r="H64" i="3"/>
  <c r="J64" i="3" s="1"/>
  <c r="K64" i="3" s="1"/>
  <c r="L64" i="3" s="1"/>
  <c r="H81" i="2"/>
  <c r="J81" i="2" s="1"/>
  <c r="O5" i="2" s="1"/>
  <c r="H76" i="2"/>
  <c r="K76" i="2" s="1"/>
  <c r="L76" i="2" s="1"/>
  <c r="H75" i="2"/>
  <c r="K75" i="2" s="1"/>
  <c r="L75" i="2" s="1"/>
  <c r="H74" i="2"/>
  <c r="H73" i="2"/>
  <c r="H72" i="2"/>
  <c r="K72" i="2" s="1"/>
  <c r="L72" i="2" s="1"/>
  <c r="H70" i="2"/>
  <c r="J70" i="2" s="1"/>
  <c r="K70" i="2" s="1"/>
  <c r="L70" i="2" s="1"/>
  <c r="H69" i="2"/>
  <c r="J69" i="2" s="1"/>
  <c r="K69" i="2" s="1"/>
  <c r="L69" i="2" s="1"/>
  <c r="H65" i="2"/>
  <c r="J65" i="2" s="1"/>
  <c r="H64" i="2"/>
  <c r="J64" i="2" s="1"/>
  <c r="H62" i="2"/>
  <c r="J62" i="2" s="1"/>
  <c r="H61" i="2"/>
  <c r="J61" i="2" s="1"/>
  <c r="K61" i="2" s="1"/>
  <c r="L61" i="2" s="1"/>
  <c r="H81" i="3"/>
  <c r="J81" i="3" s="1"/>
  <c r="H73" i="3"/>
  <c r="J73" i="3" s="1"/>
  <c r="K73" i="3" s="1"/>
  <c r="L73" i="3" s="1"/>
  <c r="H74" i="3"/>
  <c r="J74" i="3" s="1"/>
  <c r="K74" i="3" s="1"/>
  <c r="L74" i="3" s="1"/>
  <c r="H75" i="3"/>
  <c r="J75" i="3" s="1"/>
  <c r="K75" i="3" s="1"/>
  <c r="L75" i="3" s="1"/>
  <c r="J76" i="3"/>
  <c r="H72" i="3"/>
  <c r="J72" i="3" s="1"/>
  <c r="K72" i="3" s="1"/>
  <c r="L72" i="3" s="1"/>
  <c r="H70" i="3"/>
  <c r="J70" i="3" s="1"/>
  <c r="K70" i="3" s="1"/>
  <c r="L70" i="3" s="1"/>
  <c r="H69" i="3"/>
  <c r="J69" i="3" s="1"/>
  <c r="H65" i="3"/>
  <c r="J65" i="3" s="1"/>
  <c r="K65" i="3" s="1"/>
  <c r="L65" i="3" s="1"/>
  <c r="J62" i="3"/>
  <c r="H61" i="3"/>
  <c r="J61" i="3" s="1"/>
  <c r="K61" i="3" s="1"/>
  <c r="L61" i="3" s="1"/>
  <c r="J5" i="1"/>
  <c r="C5" i="1" s="1"/>
  <c r="V2" i="2"/>
  <c r="V2" i="1"/>
  <c r="X2" i="2"/>
  <c r="X2" i="1"/>
  <c r="V3" i="2"/>
  <c r="V3" i="1"/>
  <c r="X3" i="2"/>
  <c r="X3" i="1"/>
  <c r="Q6" i="2"/>
  <c r="Q7" i="2"/>
  <c r="W7" i="2" s="1"/>
  <c r="Q8" i="2"/>
  <c r="Q5" i="2"/>
  <c r="Q6" i="1"/>
  <c r="O6" i="1" s="1"/>
  <c r="Q7" i="1"/>
  <c r="O7" i="1" s="1"/>
  <c r="Q8" i="1"/>
  <c r="O8" i="1" s="1"/>
  <c r="V5" i="2" l="1"/>
  <c r="Q13" i="8"/>
  <c r="W12" i="8"/>
  <c r="X12" i="8" s="1"/>
  <c r="R7" i="5"/>
  <c r="T7" i="8" s="1"/>
  <c r="G6" i="8"/>
  <c r="W6" i="5"/>
  <c r="X6" i="5" s="1"/>
  <c r="T6" i="5"/>
  <c r="H5" i="7"/>
  <c r="H5" i="5"/>
  <c r="H5" i="1"/>
  <c r="H5" i="2"/>
  <c r="H5" i="3"/>
  <c r="G17" i="2"/>
  <c r="G17" i="7"/>
  <c r="G11" i="1"/>
  <c r="G11" i="7"/>
  <c r="V14" i="1"/>
  <c r="V15" i="1"/>
  <c r="V16" i="1"/>
  <c r="V17" i="1"/>
  <c r="V18" i="1"/>
  <c r="V19" i="1"/>
  <c r="V20" i="1"/>
  <c r="V21" i="1"/>
  <c r="V6" i="1"/>
  <c r="V22" i="1"/>
  <c r="V7" i="1"/>
  <c r="V23" i="1"/>
  <c r="V12" i="1"/>
  <c r="V8" i="1"/>
  <c r="V24" i="1"/>
  <c r="V9" i="1"/>
  <c r="V25" i="1"/>
  <c r="V13" i="1"/>
  <c r="V10" i="1"/>
  <c r="V5" i="1"/>
  <c r="V11" i="1"/>
  <c r="G18" i="1"/>
  <c r="G18" i="7"/>
  <c r="G15" i="1"/>
  <c r="G15" i="7"/>
  <c r="G19" i="1"/>
  <c r="G19" i="7"/>
  <c r="G10" i="1"/>
  <c r="G10" i="7"/>
  <c r="G23" i="1"/>
  <c r="G23" i="7"/>
  <c r="G12" i="1"/>
  <c r="G12" i="7"/>
  <c r="G20" i="1"/>
  <c r="G20" i="7"/>
  <c r="V12" i="2"/>
  <c r="V14" i="2"/>
  <c r="V11" i="2"/>
  <c r="V10" i="2"/>
  <c r="V25" i="2"/>
  <c r="V9" i="2"/>
  <c r="V24" i="2"/>
  <c r="V8" i="2"/>
  <c r="V23" i="2"/>
  <c r="V7" i="2"/>
  <c r="V22" i="2"/>
  <c r="V6" i="2"/>
  <c r="V21" i="2"/>
  <c r="V20" i="2"/>
  <c r="V19" i="2"/>
  <c r="V18" i="2"/>
  <c r="V13" i="2"/>
  <c r="V17" i="2"/>
  <c r="V16" i="2"/>
  <c r="V15" i="2"/>
  <c r="G24" i="5"/>
  <c r="G24" i="7"/>
  <c r="G13" i="1"/>
  <c r="G13" i="7"/>
  <c r="G21" i="1"/>
  <c r="G21" i="7"/>
  <c r="G6" i="1"/>
  <c r="G6" i="7"/>
  <c r="G14" i="1"/>
  <c r="G14" i="7"/>
  <c r="G7" i="1"/>
  <c r="G7" i="7"/>
  <c r="G22" i="1"/>
  <c r="G22" i="7"/>
  <c r="J5" i="7"/>
  <c r="N6" i="8"/>
  <c r="L67" i="8"/>
  <c r="N7" i="8" s="1"/>
  <c r="N8" i="8" s="1"/>
  <c r="N9" i="8" s="1"/>
  <c r="N10" i="8" s="1"/>
  <c r="N11" i="8" s="1"/>
  <c r="N12" i="8" s="1"/>
  <c r="N13" i="8" s="1"/>
  <c r="N14" i="8" s="1"/>
  <c r="N15" i="8" s="1"/>
  <c r="N16" i="8" s="1"/>
  <c r="N17" i="8" s="1"/>
  <c r="N18" i="8" s="1"/>
  <c r="N19" i="8" s="1"/>
  <c r="N20" i="8" s="1"/>
  <c r="N21" i="8" s="1"/>
  <c r="N22" i="8" s="1"/>
  <c r="N23" i="8" s="1"/>
  <c r="N24" i="8" s="1"/>
  <c r="N25" i="8" s="1"/>
  <c r="O6" i="8"/>
  <c r="L76" i="8"/>
  <c r="O7" i="8" s="1"/>
  <c r="O8" i="8" s="1"/>
  <c r="O9" i="8" s="1"/>
  <c r="O10" i="8" s="1"/>
  <c r="O11" i="8" s="1"/>
  <c r="O12" i="8" s="1"/>
  <c r="O13" i="8" s="1"/>
  <c r="O14" i="8" s="1"/>
  <c r="O15" i="8" s="1"/>
  <c r="O16" i="8" s="1"/>
  <c r="O17" i="8" s="1"/>
  <c r="O18" i="8" s="1"/>
  <c r="O19" i="8" s="1"/>
  <c r="O20" i="8" s="1"/>
  <c r="O21" i="8" s="1"/>
  <c r="O22" i="8" s="1"/>
  <c r="O23" i="8" s="1"/>
  <c r="O24" i="8" s="1"/>
  <c r="O25" i="8" s="1"/>
  <c r="J88" i="8"/>
  <c r="M5" i="8"/>
  <c r="K61" i="8"/>
  <c r="G17" i="3"/>
  <c r="B5" i="6"/>
  <c r="F5" i="1"/>
  <c r="B5" i="1" s="1"/>
  <c r="T8" i="1"/>
  <c r="G8" i="1"/>
  <c r="G9" i="2"/>
  <c r="G9" i="1"/>
  <c r="G24" i="2"/>
  <c r="G24" i="1"/>
  <c r="G16" i="3"/>
  <c r="G16" i="1"/>
  <c r="G17" i="1"/>
  <c r="G8" i="5"/>
  <c r="G8" i="2"/>
  <c r="G16" i="2"/>
  <c r="G8" i="3"/>
  <c r="G24" i="3"/>
  <c r="G17" i="5"/>
  <c r="W7" i="1"/>
  <c r="X7" i="1" s="1"/>
  <c r="T7" i="1"/>
  <c r="W6" i="1"/>
  <c r="X6" i="1" s="1"/>
  <c r="T6" i="1"/>
  <c r="G9" i="3"/>
  <c r="G9" i="5"/>
  <c r="G16" i="5"/>
  <c r="G18" i="5"/>
  <c r="G18" i="3"/>
  <c r="G18" i="2"/>
  <c r="G22" i="3"/>
  <c r="G22" i="5"/>
  <c r="G22" i="2"/>
  <c r="G19" i="3"/>
  <c r="G19" i="2"/>
  <c r="G19" i="5"/>
  <c r="W6" i="2"/>
  <c r="X6" i="2" s="1"/>
  <c r="T6" i="2"/>
  <c r="G14" i="2"/>
  <c r="G14" i="5"/>
  <c r="G14" i="3"/>
  <c r="G12" i="5"/>
  <c r="G12" i="3"/>
  <c r="G12" i="2"/>
  <c r="G21" i="3"/>
  <c r="G21" i="2"/>
  <c r="G21" i="5"/>
  <c r="G20" i="2"/>
  <c r="G20" i="5"/>
  <c r="G20" i="3"/>
  <c r="F5" i="5"/>
  <c r="F5" i="3"/>
  <c r="B5" i="3" s="1"/>
  <c r="F5" i="2"/>
  <c r="B5" i="2" s="1"/>
  <c r="G6" i="3"/>
  <c r="G6" i="5"/>
  <c r="G6" i="2"/>
  <c r="Q10" i="3"/>
  <c r="T9" i="3"/>
  <c r="T5" i="2"/>
  <c r="W5" i="2"/>
  <c r="X5" i="2" s="1"/>
  <c r="G11" i="3"/>
  <c r="G11" i="2"/>
  <c r="G11" i="5"/>
  <c r="G23" i="5"/>
  <c r="G23" i="3"/>
  <c r="G23" i="2"/>
  <c r="G13" i="5"/>
  <c r="G13" i="3"/>
  <c r="G13" i="2"/>
  <c r="G7" i="5"/>
  <c r="G7" i="3"/>
  <c r="G7" i="2"/>
  <c r="G10" i="3"/>
  <c r="G10" i="2"/>
  <c r="G10" i="5"/>
  <c r="G15" i="3"/>
  <c r="G15" i="2"/>
  <c r="G15" i="5"/>
  <c r="W8" i="2"/>
  <c r="X8" i="2" s="1"/>
  <c r="T8" i="2"/>
  <c r="X7" i="2"/>
  <c r="T7" i="2"/>
  <c r="N6" i="2"/>
  <c r="L67" i="2"/>
  <c r="N7" i="2" s="1"/>
  <c r="N8" i="2" s="1"/>
  <c r="N9" i="2" s="1"/>
  <c r="N10" i="2" s="1"/>
  <c r="N11" i="2" s="1"/>
  <c r="N12" i="2" s="1"/>
  <c r="N13" i="2" s="1"/>
  <c r="N14" i="2" s="1"/>
  <c r="N15" i="2" s="1"/>
  <c r="N16" i="2" s="1"/>
  <c r="N17" i="2" s="1"/>
  <c r="N18" i="2" s="1"/>
  <c r="N19" i="2" s="1"/>
  <c r="N20" i="2" s="1"/>
  <c r="N21" i="2" s="1"/>
  <c r="N22" i="2" s="1"/>
  <c r="N23" i="2" s="1"/>
  <c r="N24" i="2" s="1"/>
  <c r="N25" i="2" s="1"/>
  <c r="K62" i="2"/>
  <c r="L62" i="2" s="1"/>
  <c r="M7" i="2" s="1"/>
  <c r="M8" i="2" s="1"/>
  <c r="M9" i="2" s="1"/>
  <c r="M10" i="2" s="1"/>
  <c r="M11" i="2" s="1"/>
  <c r="M12" i="2" s="1"/>
  <c r="M13" i="2" s="1"/>
  <c r="M14" i="2" s="1"/>
  <c r="M15" i="2" s="1"/>
  <c r="M16" i="2" s="1"/>
  <c r="M17" i="2" s="1"/>
  <c r="M18" i="2" s="1"/>
  <c r="M19" i="2" s="1"/>
  <c r="M20" i="2" s="1"/>
  <c r="M21" i="2" s="1"/>
  <c r="M22" i="2" s="1"/>
  <c r="M23" i="2" s="1"/>
  <c r="M24" i="2" s="1"/>
  <c r="M25" i="2" s="1"/>
  <c r="M5" i="2"/>
  <c r="J84" i="2"/>
  <c r="N5" i="2"/>
  <c r="O6" i="2"/>
  <c r="J5" i="6"/>
  <c r="N6" i="6"/>
  <c r="N7" i="6"/>
  <c r="N8" i="6" s="1"/>
  <c r="N9" i="6" s="1"/>
  <c r="N10" i="6" s="1"/>
  <c r="N11" i="6" s="1"/>
  <c r="N12" i="6" s="1"/>
  <c r="N13" i="6" s="1"/>
  <c r="N14" i="6" s="1"/>
  <c r="N15" i="6" s="1"/>
  <c r="N16" i="6" s="1"/>
  <c r="N17" i="6" s="1"/>
  <c r="N18" i="6" s="1"/>
  <c r="N19" i="6" s="1"/>
  <c r="N20" i="6" s="1"/>
  <c r="N21" i="6" s="1"/>
  <c r="N22" i="6" s="1"/>
  <c r="N23" i="6" s="1"/>
  <c r="N24" i="6" s="1"/>
  <c r="N25" i="6" s="1"/>
  <c r="N6" i="5"/>
  <c r="N7" i="5"/>
  <c r="N8" i="5" s="1"/>
  <c r="N9" i="5" s="1"/>
  <c r="N10" i="5" s="1"/>
  <c r="N11" i="5" s="1"/>
  <c r="N12" i="5" s="1"/>
  <c r="N13" i="5" s="1"/>
  <c r="N14" i="5" s="1"/>
  <c r="N15" i="5" s="1"/>
  <c r="N16" i="5" s="1"/>
  <c r="N17" i="5" s="1"/>
  <c r="N18" i="5" s="1"/>
  <c r="N19" i="5" s="1"/>
  <c r="N20" i="5" s="1"/>
  <c r="N21" i="5" s="1"/>
  <c r="N22" i="5" s="1"/>
  <c r="N23" i="5" s="1"/>
  <c r="N24" i="5" s="1"/>
  <c r="N25" i="5" s="1"/>
  <c r="X9" i="6"/>
  <c r="K61" i="6"/>
  <c r="O6" i="6"/>
  <c r="H6" i="6" s="1"/>
  <c r="L76" i="6"/>
  <c r="O7" i="6" s="1"/>
  <c r="O5" i="3"/>
  <c r="K69" i="3"/>
  <c r="N5" i="3"/>
  <c r="H84" i="3"/>
  <c r="K62" i="3"/>
  <c r="M5" i="3"/>
  <c r="J5" i="5"/>
  <c r="K87" i="5"/>
  <c r="M6" i="5"/>
  <c r="L61" i="5"/>
  <c r="O6" i="5"/>
  <c r="L76" i="5"/>
  <c r="O7" i="5" s="1"/>
  <c r="O8" i="5" s="1"/>
  <c r="O9" i="5" s="1"/>
  <c r="O10" i="5" s="1"/>
  <c r="O11" i="5" s="1"/>
  <c r="O12" i="5" s="1"/>
  <c r="O13" i="5" s="1"/>
  <c r="O14" i="5" s="1"/>
  <c r="O15" i="5" s="1"/>
  <c r="O16" i="5" s="1"/>
  <c r="O17" i="5" s="1"/>
  <c r="O18" i="5" s="1"/>
  <c r="O19" i="5" s="1"/>
  <c r="O20" i="5" s="1"/>
  <c r="O21" i="5" s="1"/>
  <c r="O22" i="5" s="1"/>
  <c r="O23" i="5" s="1"/>
  <c r="O24" i="5" s="1"/>
  <c r="O25" i="5" s="1"/>
  <c r="J84" i="3"/>
  <c r="L77" i="2"/>
  <c r="Q9" i="1"/>
  <c r="O9" i="1" s="1"/>
  <c r="W8" i="1"/>
  <c r="X8" i="1" s="1"/>
  <c r="K76" i="3"/>
  <c r="L76" i="3" s="1"/>
  <c r="Q9" i="2"/>
  <c r="T9" i="2" s="1"/>
  <c r="X5" i="1"/>
  <c r="X6" i="3"/>
  <c r="X7" i="3"/>
  <c r="X5" i="3"/>
  <c r="W9" i="3"/>
  <c r="X8" i="3"/>
  <c r="Q14" i="8" l="1"/>
  <c r="W13" i="8"/>
  <c r="X13" i="8" s="1"/>
  <c r="G7" i="8"/>
  <c r="T7" i="5"/>
  <c r="W7" i="5"/>
  <c r="X7" i="5" s="1"/>
  <c r="R8" i="5"/>
  <c r="T8" i="8" s="1"/>
  <c r="H6" i="7"/>
  <c r="H6" i="5"/>
  <c r="H6" i="3"/>
  <c r="H6" i="2"/>
  <c r="H6" i="1"/>
  <c r="O8" i="6"/>
  <c r="H7" i="6"/>
  <c r="F6" i="6"/>
  <c r="F6" i="7" s="1"/>
  <c r="J6" i="7"/>
  <c r="K6" i="7" s="1"/>
  <c r="B5" i="7"/>
  <c r="K5" i="7"/>
  <c r="C5" i="7"/>
  <c r="H5" i="8"/>
  <c r="F5" i="8" s="1"/>
  <c r="J5" i="8"/>
  <c r="K88" i="8"/>
  <c r="M6" i="8"/>
  <c r="L61" i="8"/>
  <c r="Q10" i="1"/>
  <c r="O10" i="1" s="1"/>
  <c r="T9" i="1"/>
  <c r="Q11" i="3"/>
  <c r="T10" i="3"/>
  <c r="B5" i="5"/>
  <c r="J5" i="2"/>
  <c r="C5" i="2" s="1"/>
  <c r="M6" i="2"/>
  <c r="J6" i="2" s="1"/>
  <c r="K84" i="2"/>
  <c r="J6" i="1"/>
  <c r="C6" i="1" s="1"/>
  <c r="J7" i="1"/>
  <c r="K7" i="1" s="1"/>
  <c r="J6" i="5"/>
  <c r="K6" i="5" s="1"/>
  <c r="K5" i="6"/>
  <c r="C5" i="6"/>
  <c r="X10" i="6"/>
  <c r="K88" i="6"/>
  <c r="M6" i="6"/>
  <c r="J6" i="6" s="1"/>
  <c r="K6" i="6" s="1"/>
  <c r="L61" i="6"/>
  <c r="L88" i="6" s="1"/>
  <c r="N6" i="3"/>
  <c r="L69" i="3"/>
  <c r="N7" i="3" s="1"/>
  <c r="N8" i="3" s="1"/>
  <c r="N9" i="3" s="1"/>
  <c r="N10" i="3" s="1"/>
  <c r="N11" i="3" s="1"/>
  <c r="N12" i="3" s="1"/>
  <c r="N13" i="3" s="1"/>
  <c r="N14" i="3" s="1"/>
  <c r="N15" i="3" s="1"/>
  <c r="N16" i="3" s="1"/>
  <c r="N17" i="3" s="1"/>
  <c r="N18" i="3" s="1"/>
  <c r="N19" i="3" s="1"/>
  <c r="N20" i="3" s="1"/>
  <c r="N21" i="3" s="1"/>
  <c r="N22" i="3" s="1"/>
  <c r="N23" i="3" s="1"/>
  <c r="N24" i="3" s="1"/>
  <c r="N25" i="3" s="1"/>
  <c r="M6" i="3"/>
  <c r="L62" i="3"/>
  <c r="M7" i="3" s="1"/>
  <c r="M8" i="3" s="1"/>
  <c r="M9" i="3" s="1"/>
  <c r="M10" i="3" s="1"/>
  <c r="M11" i="3" s="1"/>
  <c r="M12" i="3" s="1"/>
  <c r="M13" i="3" s="1"/>
  <c r="M14" i="3" s="1"/>
  <c r="M15" i="3" s="1"/>
  <c r="M16" i="3" s="1"/>
  <c r="M17" i="3" s="1"/>
  <c r="M18" i="3" s="1"/>
  <c r="M19" i="3" s="1"/>
  <c r="M20" i="3" s="1"/>
  <c r="M21" i="3" s="1"/>
  <c r="M22" i="3" s="1"/>
  <c r="M23" i="3" s="1"/>
  <c r="M24" i="3" s="1"/>
  <c r="M25" i="3" s="1"/>
  <c r="J5" i="3"/>
  <c r="C5" i="3" s="1"/>
  <c r="M7" i="5"/>
  <c r="L87" i="5"/>
  <c r="C5" i="5"/>
  <c r="K5" i="5"/>
  <c r="W9" i="2"/>
  <c r="X9" i="2" s="1"/>
  <c r="O7" i="3"/>
  <c r="O8" i="3" s="1"/>
  <c r="O9" i="3" s="1"/>
  <c r="O10" i="3" s="1"/>
  <c r="O11" i="3" s="1"/>
  <c r="O12" i="3" s="1"/>
  <c r="O13" i="3" s="1"/>
  <c r="O14" i="3" s="1"/>
  <c r="O15" i="3" s="1"/>
  <c r="O16" i="3" s="1"/>
  <c r="O17" i="3" s="1"/>
  <c r="O18" i="3" s="1"/>
  <c r="O19" i="3" s="1"/>
  <c r="O20" i="3" s="1"/>
  <c r="O21" i="3" s="1"/>
  <c r="O22" i="3" s="1"/>
  <c r="O23" i="3" s="1"/>
  <c r="O24" i="3" s="1"/>
  <c r="O25" i="3" s="1"/>
  <c r="W9" i="1"/>
  <c r="X9" i="1" s="1"/>
  <c r="K84" i="3"/>
  <c r="L84" i="2"/>
  <c r="O7" i="2"/>
  <c r="O8" i="2" s="1"/>
  <c r="O9" i="2" s="1"/>
  <c r="O10" i="2" s="1"/>
  <c r="O11" i="2" s="1"/>
  <c r="O12" i="2" s="1"/>
  <c r="O13" i="2" s="1"/>
  <c r="O14" i="2" s="1"/>
  <c r="O15" i="2" s="1"/>
  <c r="O16" i="2" s="1"/>
  <c r="O17" i="2" s="1"/>
  <c r="O18" i="2" s="1"/>
  <c r="O19" i="2" s="1"/>
  <c r="O20" i="2" s="1"/>
  <c r="O21" i="2" s="1"/>
  <c r="O22" i="2" s="1"/>
  <c r="O23" i="2" s="1"/>
  <c r="O24" i="2" s="1"/>
  <c r="O25" i="2" s="1"/>
  <c r="O6" i="3"/>
  <c r="J8" i="1"/>
  <c r="K8" i="1" s="1"/>
  <c r="Q10" i="2"/>
  <c r="T10" i="2" s="1"/>
  <c r="K5" i="1"/>
  <c r="D5" i="1" s="1"/>
  <c r="D45" i="4" s="1"/>
  <c r="W10" i="3"/>
  <c r="X9" i="3"/>
  <c r="Q15" i="8" l="1"/>
  <c r="W14" i="8"/>
  <c r="X14" i="8" s="1"/>
  <c r="W8" i="5"/>
  <c r="X8" i="5" s="1"/>
  <c r="G8" i="8"/>
  <c r="R9" i="5"/>
  <c r="T9" i="8" s="1"/>
  <c r="T8" i="5"/>
  <c r="F6" i="1"/>
  <c r="B6" i="1" s="1"/>
  <c r="B6" i="6"/>
  <c r="O9" i="6"/>
  <c r="H8" i="6"/>
  <c r="H7" i="7"/>
  <c r="H7" i="2"/>
  <c r="H7" i="3"/>
  <c r="H7" i="1"/>
  <c r="H7" i="5"/>
  <c r="F7" i="6"/>
  <c r="F6" i="5"/>
  <c r="B6" i="5" s="1"/>
  <c r="F6" i="2"/>
  <c r="F6" i="3"/>
  <c r="B6" i="3" s="1"/>
  <c r="C6" i="7"/>
  <c r="D5" i="7"/>
  <c r="J7" i="7"/>
  <c r="K7" i="7" s="1"/>
  <c r="B6" i="7"/>
  <c r="L88" i="8"/>
  <c r="M7" i="8"/>
  <c r="H6" i="8"/>
  <c r="F6" i="8" s="1"/>
  <c r="J6" i="8"/>
  <c r="K6" i="8" s="1"/>
  <c r="B5" i="8"/>
  <c r="K5" i="8"/>
  <c r="C5" i="8"/>
  <c r="T10" i="1"/>
  <c r="W10" i="1"/>
  <c r="X10" i="1" s="1"/>
  <c r="Q11" i="1"/>
  <c r="O11" i="1" s="1"/>
  <c r="Q12" i="3"/>
  <c r="T11" i="3"/>
  <c r="C6" i="2"/>
  <c r="K6" i="1"/>
  <c r="D6" i="1" s="1"/>
  <c r="D7" i="1" s="1"/>
  <c r="K5" i="2"/>
  <c r="D5" i="2" s="1"/>
  <c r="K6" i="2"/>
  <c r="J9" i="1"/>
  <c r="K9" i="1" s="1"/>
  <c r="C7" i="1"/>
  <c r="C8" i="1" s="1"/>
  <c r="J7" i="2"/>
  <c r="J8" i="2"/>
  <c r="K8" i="2" s="1"/>
  <c r="C6" i="5"/>
  <c r="X11" i="6"/>
  <c r="C6" i="6"/>
  <c r="M7" i="6"/>
  <c r="D5" i="6"/>
  <c r="K5" i="3"/>
  <c r="D5" i="3" s="1"/>
  <c r="J9" i="3"/>
  <c r="K9" i="3" s="1"/>
  <c r="J7" i="3"/>
  <c r="K7" i="3" s="1"/>
  <c r="J6" i="3"/>
  <c r="K6" i="3" s="1"/>
  <c r="L84" i="3"/>
  <c r="D5" i="5"/>
  <c r="M8" i="5"/>
  <c r="J7" i="5"/>
  <c r="J8" i="3"/>
  <c r="K8" i="3" s="1"/>
  <c r="W10" i="2"/>
  <c r="X10" i="2" s="1"/>
  <c r="J10" i="2"/>
  <c r="Q11" i="2"/>
  <c r="T11" i="2" s="1"/>
  <c r="J9" i="2"/>
  <c r="K9" i="2" s="1"/>
  <c r="X10" i="3"/>
  <c r="W11" i="3"/>
  <c r="J10" i="3"/>
  <c r="Q16" i="8" l="1"/>
  <c r="W15" i="8"/>
  <c r="X15" i="8" s="1"/>
  <c r="D6" i="7"/>
  <c r="M46" i="4" s="1"/>
  <c r="M45" i="4"/>
  <c r="G9" i="8"/>
  <c r="W9" i="5"/>
  <c r="X9" i="5" s="1"/>
  <c r="R10" i="5"/>
  <c r="T10" i="8" s="1"/>
  <c r="T9" i="5"/>
  <c r="B6" i="2"/>
  <c r="H8" i="7"/>
  <c r="H8" i="3"/>
  <c r="H8" i="2"/>
  <c r="H8" i="1"/>
  <c r="H8" i="5"/>
  <c r="F8" i="6"/>
  <c r="F7" i="5"/>
  <c r="B7" i="5" s="1"/>
  <c r="F7" i="7"/>
  <c r="B7" i="7" s="1"/>
  <c r="F7" i="3"/>
  <c r="B7" i="3" s="1"/>
  <c r="F7" i="2"/>
  <c r="F7" i="1"/>
  <c r="O10" i="6"/>
  <c r="H9" i="6"/>
  <c r="B7" i="6"/>
  <c r="C6" i="8"/>
  <c r="B6" i="8"/>
  <c r="J8" i="7"/>
  <c r="K8" i="7" s="1"/>
  <c r="C7" i="7"/>
  <c r="D5" i="8"/>
  <c r="M8" i="8"/>
  <c r="H7" i="8"/>
  <c r="F7" i="8" s="1"/>
  <c r="J7" i="8"/>
  <c r="J10" i="1"/>
  <c r="K10" i="1" s="1"/>
  <c r="D6" i="6"/>
  <c r="I46" i="4" s="1"/>
  <c r="I45" i="4"/>
  <c r="T11" i="1"/>
  <c r="D6" i="5"/>
  <c r="G46" i="4" s="1"/>
  <c r="G45" i="4"/>
  <c r="W11" i="1"/>
  <c r="X11" i="1" s="1"/>
  <c r="Q12" i="1"/>
  <c r="O12" i="1" s="1"/>
  <c r="C9" i="1"/>
  <c r="Q13" i="3"/>
  <c r="T12" i="3"/>
  <c r="C7" i="2"/>
  <c r="C8" i="2" s="1"/>
  <c r="C9" i="2" s="1"/>
  <c r="C10" i="2" s="1"/>
  <c r="K7" i="2"/>
  <c r="C7" i="5"/>
  <c r="M8" i="6"/>
  <c r="J7" i="6"/>
  <c r="C7" i="6" s="1"/>
  <c r="X12" i="6"/>
  <c r="D6" i="3"/>
  <c r="F46" i="4" s="1"/>
  <c r="C6" i="3"/>
  <c r="C7" i="3" s="1"/>
  <c r="C8" i="3" s="1"/>
  <c r="C9" i="3" s="1"/>
  <c r="C10" i="3" s="1"/>
  <c r="F45" i="4"/>
  <c r="M9" i="5"/>
  <c r="J8" i="5"/>
  <c r="K8" i="5" s="1"/>
  <c r="K7" i="5"/>
  <c r="W11" i="2"/>
  <c r="X11" i="2" s="1"/>
  <c r="K10" i="2"/>
  <c r="K10" i="3"/>
  <c r="Q12" i="2"/>
  <c r="T12" i="2" s="1"/>
  <c r="J11" i="2"/>
  <c r="D46" i="4"/>
  <c r="D47" i="4"/>
  <c r="D8" i="1"/>
  <c r="X11" i="3"/>
  <c r="J11" i="3"/>
  <c r="W12" i="3"/>
  <c r="E45" i="4"/>
  <c r="D6" i="2"/>
  <c r="Q17" i="8" l="1"/>
  <c r="W16" i="8"/>
  <c r="X16" i="8" s="1"/>
  <c r="D6" i="8"/>
  <c r="K46" i="4" s="1"/>
  <c r="K45" i="4"/>
  <c r="D7" i="7"/>
  <c r="M47" i="4" s="1"/>
  <c r="B8" i="6"/>
  <c r="G10" i="8"/>
  <c r="W10" i="5"/>
  <c r="X10" i="5" s="1"/>
  <c r="R11" i="5"/>
  <c r="T11" i="8" s="1"/>
  <c r="T10" i="5"/>
  <c r="F8" i="2"/>
  <c r="F8" i="1"/>
  <c r="F8" i="3"/>
  <c r="B8" i="3" s="1"/>
  <c r="F8" i="7"/>
  <c r="B8" i="7" s="1"/>
  <c r="F8" i="5"/>
  <c r="B8" i="5" s="1"/>
  <c r="O11" i="6"/>
  <c r="H10" i="6"/>
  <c r="B7" i="2"/>
  <c r="H9" i="7"/>
  <c r="H9" i="3"/>
  <c r="H9" i="1"/>
  <c r="H9" i="5"/>
  <c r="H9" i="2"/>
  <c r="F9" i="6"/>
  <c r="B7" i="1"/>
  <c r="B7" i="8"/>
  <c r="C8" i="7"/>
  <c r="J9" i="7"/>
  <c r="M9" i="8"/>
  <c r="H8" i="8"/>
  <c r="F8" i="8" s="1"/>
  <c r="J8" i="8"/>
  <c r="K8" i="8" s="1"/>
  <c r="K7" i="8"/>
  <c r="C7" i="8"/>
  <c r="C10" i="1"/>
  <c r="J11" i="1"/>
  <c r="T12" i="1"/>
  <c r="D7" i="5"/>
  <c r="G47" i="4" s="1"/>
  <c r="Q13" i="1"/>
  <c r="W12" i="1"/>
  <c r="X12" i="1" s="1"/>
  <c r="Q14" i="3"/>
  <c r="T13" i="3"/>
  <c r="X13" i="6"/>
  <c r="K7" i="6"/>
  <c r="M9" i="6"/>
  <c r="J8" i="6"/>
  <c r="K8" i="6" s="1"/>
  <c r="C8" i="5"/>
  <c r="D7" i="3"/>
  <c r="D8" i="3" s="1"/>
  <c r="M10" i="5"/>
  <c r="J9" i="5"/>
  <c r="Q13" i="2"/>
  <c r="W12" i="2"/>
  <c r="X12" i="2" s="1"/>
  <c r="K11" i="2"/>
  <c r="C11" i="2"/>
  <c r="J12" i="2"/>
  <c r="D9" i="1"/>
  <c r="D48" i="4"/>
  <c r="J12" i="3"/>
  <c r="W13" i="3"/>
  <c r="X12" i="3"/>
  <c r="K11" i="3"/>
  <c r="C11" i="3"/>
  <c r="E46" i="4"/>
  <c r="D7" i="2"/>
  <c r="W13" i="1" l="1"/>
  <c r="X13" i="1" s="1"/>
  <c r="O13" i="1"/>
  <c r="D7" i="8"/>
  <c r="K47" i="4" s="1"/>
  <c r="Q18" i="8"/>
  <c r="W17" i="8"/>
  <c r="X17" i="8" s="1"/>
  <c r="D8" i="7"/>
  <c r="M48" i="4" s="1"/>
  <c r="G11" i="8"/>
  <c r="R12" i="5"/>
  <c r="T12" i="8" s="1"/>
  <c r="W11" i="5"/>
  <c r="X11" i="5" s="1"/>
  <c r="T11" i="5"/>
  <c r="B8" i="1"/>
  <c r="F9" i="7"/>
  <c r="B9" i="7" s="1"/>
  <c r="F9" i="3"/>
  <c r="B9" i="3" s="1"/>
  <c r="F9" i="1"/>
  <c r="F9" i="2"/>
  <c r="F9" i="5"/>
  <c r="B9" i="5" s="1"/>
  <c r="B9" i="6"/>
  <c r="H10" i="7"/>
  <c r="H10" i="1"/>
  <c r="H10" i="2"/>
  <c r="H10" i="3"/>
  <c r="H10" i="5"/>
  <c r="F10" i="6"/>
  <c r="O12" i="6"/>
  <c r="H11" i="6"/>
  <c r="B8" i="2"/>
  <c r="C8" i="8"/>
  <c r="B8" i="8"/>
  <c r="J10" i="7"/>
  <c r="K10" i="7" s="1"/>
  <c r="K9" i="7"/>
  <c r="C9" i="7"/>
  <c r="M10" i="8"/>
  <c r="H9" i="8"/>
  <c r="F9" i="8" s="1"/>
  <c r="J9" i="8"/>
  <c r="J12" i="1"/>
  <c r="C11" i="1"/>
  <c r="K11" i="1"/>
  <c r="T13" i="1"/>
  <c r="D8" i="5"/>
  <c r="G48" i="4" s="1"/>
  <c r="Q14" i="1"/>
  <c r="Q15" i="3"/>
  <c r="T14" i="3"/>
  <c r="W13" i="2"/>
  <c r="X13" i="2" s="1"/>
  <c r="T13" i="2"/>
  <c r="J13" i="2" s="1"/>
  <c r="Q14" i="2"/>
  <c r="C9" i="5"/>
  <c r="M10" i="6"/>
  <c r="J9" i="6"/>
  <c r="K9" i="6" s="1"/>
  <c r="C8" i="6"/>
  <c r="D7" i="6"/>
  <c r="X14" i="6"/>
  <c r="F47" i="4"/>
  <c r="M11" i="5"/>
  <c r="J10" i="5"/>
  <c r="K10" i="5" s="1"/>
  <c r="K9" i="5"/>
  <c r="C12" i="2"/>
  <c r="K12" i="2"/>
  <c r="C12" i="3"/>
  <c r="F48" i="4"/>
  <c r="D9" i="3"/>
  <c r="J13" i="3"/>
  <c r="W14" i="3"/>
  <c r="X13" i="3"/>
  <c r="K12" i="3"/>
  <c r="E47" i="4"/>
  <c r="D8" i="2"/>
  <c r="D49" i="4"/>
  <c r="D10" i="1"/>
  <c r="Q15" i="1" l="1"/>
  <c r="O15" i="1" s="1"/>
  <c r="O14" i="1"/>
  <c r="D8" i="8"/>
  <c r="K48" i="4" s="1"/>
  <c r="Q19" i="8"/>
  <c r="W18" i="8"/>
  <c r="X18" i="8" s="1"/>
  <c r="D9" i="7"/>
  <c r="M49" i="4" s="1"/>
  <c r="W14" i="1"/>
  <c r="X14" i="1" s="1"/>
  <c r="C10" i="7"/>
  <c r="B9" i="2"/>
  <c r="G12" i="8"/>
  <c r="W12" i="5"/>
  <c r="X12" i="5" s="1"/>
  <c r="T12" i="5"/>
  <c r="R13" i="5"/>
  <c r="T13" i="8" s="1"/>
  <c r="H11" i="7"/>
  <c r="H11" i="2"/>
  <c r="H11" i="3"/>
  <c r="H11" i="1"/>
  <c r="H11" i="5"/>
  <c r="F11" i="6"/>
  <c r="F10" i="1"/>
  <c r="F10" i="7"/>
  <c r="B10" i="7" s="1"/>
  <c r="F10" i="5"/>
  <c r="F10" i="3"/>
  <c r="B10" i="3" s="1"/>
  <c r="F10" i="2"/>
  <c r="O13" i="6"/>
  <c r="H12" i="6"/>
  <c r="B9" i="1"/>
  <c r="B10" i="6"/>
  <c r="B9" i="8"/>
  <c r="J11" i="7"/>
  <c r="K9" i="8"/>
  <c r="M11" i="8"/>
  <c r="H10" i="8"/>
  <c r="F10" i="8" s="1"/>
  <c r="J10" i="8"/>
  <c r="K10" i="8" s="1"/>
  <c r="C9" i="8"/>
  <c r="J13" i="1"/>
  <c r="K13" i="1" s="1"/>
  <c r="C12" i="1"/>
  <c r="K12" i="1"/>
  <c r="T15" i="1"/>
  <c r="T14" i="1"/>
  <c r="D8" i="6"/>
  <c r="I48" i="4" s="1"/>
  <c r="I47" i="4"/>
  <c r="Q16" i="3"/>
  <c r="T15" i="3"/>
  <c r="W14" i="2"/>
  <c r="X14" i="2" s="1"/>
  <c r="T14" i="2"/>
  <c r="J14" i="2" s="1"/>
  <c r="K13" i="2"/>
  <c r="C13" i="2"/>
  <c r="Q15" i="2"/>
  <c r="X15" i="6"/>
  <c r="C9" i="6"/>
  <c r="M11" i="6"/>
  <c r="J10" i="6"/>
  <c r="C10" i="5"/>
  <c r="D9" i="5"/>
  <c r="M12" i="5"/>
  <c r="J11" i="5"/>
  <c r="C13" i="3"/>
  <c r="E48" i="4"/>
  <c r="D9" i="2"/>
  <c r="K13" i="3"/>
  <c r="F49" i="4"/>
  <c r="D10" i="3"/>
  <c r="D11" i="1"/>
  <c r="D50" i="4"/>
  <c r="X14" i="3"/>
  <c r="J14" i="3"/>
  <c r="W15" i="3"/>
  <c r="Q16" i="1"/>
  <c r="O16" i="1" s="1"/>
  <c r="W15" i="1" l="1"/>
  <c r="X15" i="1" s="1"/>
  <c r="Q20" i="8"/>
  <c r="W19" i="8"/>
  <c r="X19" i="8" s="1"/>
  <c r="D10" i="7"/>
  <c r="M50" i="4" s="1"/>
  <c r="B10" i="2"/>
  <c r="C13" i="1"/>
  <c r="G13" i="8"/>
  <c r="R14" i="5"/>
  <c r="T14" i="8" s="1"/>
  <c r="W13" i="5"/>
  <c r="X13" i="5" s="1"/>
  <c r="T13" i="5"/>
  <c r="B10" i="1"/>
  <c r="B11" i="6"/>
  <c r="F11" i="3"/>
  <c r="B11" i="3" s="1"/>
  <c r="F11" i="2"/>
  <c r="F11" i="5"/>
  <c r="F11" i="1"/>
  <c r="F11" i="7"/>
  <c r="B11" i="7" s="1"/>
  <c r="H12" i="7"/>
  <c r="H12" i="5"/>
  <c r="H12" i="1"/>
  <c r="H12" i="2"/>
  <c r="H12" i="3"/>
  <c r="F12" i="6"/>
  <c r="O14" i="6"/>
  <c r="H13" i="6"/>
  <c r="B10" i="5"/>
  <c r="B10" i="8"/>
  <c r="C10" i="8"/>
  <c r="K11" i="7"/>
  <c r="J12" i="7"/>
  <c r="K12" i="7" s="1"/>
  <c r="C11" i="7"/>
  <c r="H11" i="8"/>
  <c r="F11" i="8" s="1"/>
  <c r="M12" i="8"/>
  <c r="J11" i="8"/>
  <c r="K11" i="8" s="1"/>
  <c r="D9" i="8"/>
  <c r="J14" i="1"/>
  <c r="K14" i="1" s="1"/>
  <c r="D9" i="6"/>
  <c r="I49" i="4" s="1"/>
  <c r="T16" i="1"/>
  <c r="D10" i="5"/>
  <c r="G50" i="4" s="1"/>
  <c r="G49" i="4"/>
  <c r="Q17" i="3"/>
  <c r="T16" i="3"/>
  <c r="W15" i="2"/>
  <c r="X15" i="2" s="1"/>
  <c r="T15" i="2"/>
  <c r="J15" i="2" s="1"/>
  <c r="C14" i="2"/>
  <c r="K14" i="2"/>
  <c r="Q16" i="2"/>
  <c r="J15" i="1"/>
  <c r="K10" i="6"/>
  <c r="C10" i="6"/>
  <c r="M12" i="6"/>
  <c r="J11" i="6"/>
  <c r="K11" i="6" s="1"/>
  <c r="X16" i="6"/>
  <c r="K11" i="5"/>
  <c r="M13" i="5"/>
  <c r="J12" i="5"/>
  <c r="K12" i="5" s="1"/>
  <c r="C11" i="5"/>
  <c r="W16" i="1"/>
  <c r="X16" i="1" s="1"/>
  <c r="D10" i="2"/>
  <c r="E49" i="4"/>
  <c r="Q17" i="1"/>
  <c r="O17" i="1" s="1"/>
  <c r="X15" i="3"/>
  <c r="J15" i="3"/>
  <c r="W16" i="3"/>
  <c r="D51" i="4"/>
  <c r="D12" i="1"/>
  <c r="D11" i="3"/>
  <c r="F50" i="4"/>
  <c r="K14" i="3"/>
  <c r="C14" i="3"/>
  <c r="Q21" i="8" l="1"/>
  <c r="W20" i="8"/>
  <c r="X20" i="8" s="1"/>
  <c r="D10" i="8"/>
  <c r="K50" i="4" s="1"/>
  <c r="K49" i="4"/>
  <c r="D11" i="7"/>
  <c r="M51" i="4" s="1"/>
  <c r="B12" i="6"/>
  <c r="B11" i="2"/>
  <c r="B11" i="1"/>
  <c r="G14" i="8"/>
  <c r="T14" i="5"/>
  <c r="W14" i="5"/>
  <c r="X14" i="5" s="1"/>
  <c r="R15" i="5"/>
  <c r="T15" i="8" s="1"/>
  <c r="B11" i="5"/>
  <c r="O15" i="6"/>
  <c r="H14" i="6"/>
  <c r="F12" i="1"/>
  <c r="F12" i="3"/>
  <c r="B12" i="3" s="1"/>
  <c r="F12" i="7"/>
  <c r="B12" i="7" s="1"/>
  <c r="F12" i="5"/>
  <c r="F12" i="2"/>
  <c r="H13" i="7"/>
  <c r="H13" i="1"/>
  <c r="H13" i="5"/>
  <c r="H13" i="3"/>
  <c r="H13" i="2"/>
  <c r="F13" i="6"/>
  <c r="B11" i="8"/>
  <c r="C12" i="7"/>
  <c r="J13" i="7"/>
  <c r="K13" i="7" s="1"/>
  <c r="H12" i="8"/>
  <c r="F12" i="8" s="1"/>
  <c r="M13" i="8"/>
  <c r="J12" i="8"/>
  <c r="C11" i="8"/>
  <c r="C14" i="1"/>
  <c r="C15" i="1" s="1"/>
  <c r="D10" i="6"/>
  <c r="I50" i="4" s="1"/>
  <c r="T17" i="1"/>
  <c r="D11" i="5"/>
  <c r="G51" i="4" s="1"/>
  <c r="Q18" i="3"/>
  <c r="T17" i="3"/>
  <c r="W16" i="2"/>
  <c r="X16" i="2" s="1"/>
  <c r="T16" i="2"/>
  <c r="J16" i="2" s="1"/>
  <c r="K15" i="2"/>
  <c r="C15" i="2"/>
  <c r="K15" i="1"/>
  <c r="J16" i="1"/>
  <c r="Q17" i="2"/>
  <c r="C12" i="5"/>
  <c r="M13" i="6"/>
  <c r="J12" i="6"/>
  <c r="K12" i="6" s="1"/>
  <c r="C11" i="6"/>
  <c r="X17" i="6"/>
  <c r="M14" i="5"/>
  <c r="J13" i="5"/>
  <c r="K13" i="5" s="1"/>
  <c r="W17" i="1"/>
  <c r="X17" i="1" s="1"/>
  <c r="W17" i="3"/>
  <c r="J16" i="3"/>
  <c r="X16" i="3"/>
  <c r="K15" i="3"/>
  <c r="E50" i="4"/>
  <c r="D11" i="2"/>
  <c r="D13" i="1"/>
  <c r="D52" i="4"/>
  <c r="Q18" i="1"/>
  <c r="O18" i="1" s="1"/>
  <c r="D12" i="3"/>
  <c r="F51" i="4"/>
  <c r="C15" i="3"/>
  <c r="D12" i="7" l="1"/>
  <c r="M52" i="4" s="1"/>
  <c r="D11" i="8"/>
  <c r="K51" i="4" s="1"/>
  <c r="Q22" i="8"/>
  <c r="W21" i="8"/>
  <c r="X21" i="8" s="1"/>
  <c r="B12" i="5"/>
  <c r="B13" i="6"/>
  <c r="B12" i="2"/>
  <c r="B12" i="1"/>
  <c r="G15" i="8"/>
  <c r="W15" i="5"/>
  <c r="X15" i="5" s="1"/>
  <c r="R16" i="5"/>
  <c r="T16" i="8" s="1"/>
  <c r="T15" i="5"/>
  <c r="H14" i="7"/>
  <c r="H14" i="1"/>
  <c r="H14" i="2"/>
  <c r="H14" i="3"/>
  <c r="H14" i="5"/>
  <c r="F14" i="6"/>
  <c r="F13" i="2"/>
  <c r="F13" i="3"/>
  <c r="B13" i="3" s="1"/>
  <c r="F13" i="1"/>
  <c r="F13" i="7"/>
  <c r="B13" i="7" s="1"/>
  <c r="F13" i="5"/>
  <c r="O16" i="6"/>
  <c r="H15" i="6"/>
  <c r="B12" i="8"/>
  <c r="C12" i="8"/>
  <c r="J14" i="7"/>
  <c r="K14" i="7" s="1"/>
  <c r="C13" i="7"/>
  <c r="K12" i="8"/>
  <c r="H13" i="8"/>
  <c r="F13" i="8" s="1"/>
  <c r="M14" i="8"/>
  <c r="J13" i="8"/>
  <c r="K13" i="8" s="1"/>
  <c r="D11" i="6"/>
  <c r="I51" i="4" s="1"/>
  <c r="T18" i="1"/>
  <c r="D12" i="5"/>
  <c r="G52" i="4" s="1"/>
  <c r="C16" i="1"/>
  <c r="Q19" i="3"/>
  <c r="T18" i="3"/>
  <c r="W17" i="2"/>
  <c r="X17" i="2" s="1"/>
  <c r="T17" i="2"/>
  <c r="J17" i="2" s="1"/>
  <c r="C16" i="2"/>
  <c r="K16" i="1"/>
  <c r="Q18" i="2"/>
  <c r="K16" i="2"/>
  <c r="C12" i="6"/>
  <c r="X18" i="6"/>
  <c r="M14" i="6"/>
  <c r="J13" i="6"/>
  <c r="K13" i="6" s="1"/>
  <c r="M15" i="5"/>
  <c r="J14" i="5"/>
  <c r="K14" i="5" s="1"/>
  <c r="C13" i="5"/>
  <c r="W18" i="1"/>
  <c r="X18" i="1" s="1"/>
  <c r="J17" i="1"/>
  <c r="K17" i="1" s="1"/>
  <c r="K16" i="3"/>
  <c r="F52" i="4"/>
  <c r="D13" i="3"/>
  <c r="D14" i="1"/>
  <c r="D53" i="4"/>
  <c r="E51" i="4"/>
  <c r="D12" i="2"/>
  <c r="Q19" i="1"/>
  <c r="O19" i="1" s="1"/>
  <c r="C16" i="3"/>
  <c r="W18" i="3"/>
  <c r="J17" i="3"/>
  <c r="X17" i="3"/>
  <c r="D13" i="7" l="1"/>
  <c r="M53" i="4" s="1"/>
  <c r="Q23" i="8"/>
  <c r="W22" i="8"/>
  <c r="X22" i="8" s="1"/>
  <c r="B13" i="5"/>
  <c r="B13" i="2"/>
  <c r="B13" i="1"/>
  <c r="G16" i="8"/>
  <c r="W16" i="5"/>
  <c r="X16" i="5" s="1"/>
  <c r="T16" i="5"/>
  <c r="R17" i="5"/>
  <c r="T17" i="8" s="1"/>
  <c r="F14" i="5"/>
  <c r="F14" i="3"/>
  <c r="B14" i="3" s="1"/>
  <c r="F14" i="2"/>
  <c r="F14" i="1"/>
  <c r="F14" i="7"/>
  <c r="B14" i="7" s="1"/>
  <c r="B14" i="6"/>
  <c r="H15" i="7"/>
  <c r="H15" i="3"/>
  <c r="H15" i="5"/>
  <c r="H15" i="2"/>
  <c r="H15" i="1"/>
  <c r="F15" i="6"/>
  <c r="O17" i="6"/>
  <c r="H16" i="6"/>
  <c r="B13" i="8"/>
  <c r="J15" i="7"/>
  <c r="K15" i="7" s="1"/>
  <c r="C14" i="7"/>
  <c r="H14" i="8"/>
  <c r="F14" i="8" s="1"/>
  <c r="M15" i="8"/>
  <c r="J14" i="8"/>
  <c r="K14" i="8" s="1"/>
  <c r="D12" i="8"/>
  <c r="C13" i="8"/>
  <c r="D12" i="6"/>
  <c r="I52" i="4" s="1"/>
  <c r="T19" i="1"/>
  <c r="D13" i="5"/>
  <c r="G53" i="4" s="1"/>
  <c r="Q20" i="3"/>
  <c r="T19" i="3"/>
  <c r="K17" i="2"/>
  <c r="W18" i="2"/>
  <c r="X18" i="2" s="1"/>
  <c r="T18" i="2"/>
  <c r="J18" i="2" s="1"/>
  <c r="C17" i="2"/>
  <c r="C17" i="1"/>
  <c r="Q19" i="2"/>
  <c r="M15" i="6"/>
  <c r="J14" i="6"/>
  <c r="K14" i="6" s="1"/>
  <c r="X19" i="6"/>
  <c r="C13" i="6"/>
  <c r="C14" i="5"/>
  <c r="M16" i="5"/>
  <c r="J15" i="5"/>
  <c r="K15" i="5" s="1"/>
  <c r="W19" i="1"/>
  <c r="X19" i="1" s="1"/>
  <c r="J18" i="1"/>
  <c r="K18" i="1" s="1"/>
  <c r="K17" i="3"/>
  <c r="C17" i="3"/>
  <c r="Q20" i="1"/>
  <c r="O20" i="1" s="1"/>
  <c r="E52" i="4"/>
  <c r="D13" i="2"/>
  <c r="D15" i="1"/>
  <c r="D54" i="4"/>
  <c r="W19" i="3"/>
  <c r="X18" i="3"/>
  <c r="J18" i="3"/>
  <c r="D14" i="3"/>
  <c r="F53" i="4"/>
  <c r="D14" i="7" l="1"/>
  <c r="M54" i="4" s="1"/>
  <c r="Q24" i="8"/>
  <c r="W23" i="8"/>
  <c r="X23" i="8" s="1"/>
  <c r="D13" i="8"/>
  <c r="K53" i="4" s="1"/>
  <c r="K52" i="4"/>
  <c r="B14" i="5"/>
  <c r="B14" i="2"/>
  <c r="B14" i="1"/>
  <c r="G17" i="8"/>
  <c r="T17" i="5"/>
  <c r="R18" i="5"/>
  <c r="T18" i="8" s="1"/>
  <c r="W17" i="5"/>
  <c r="X17" i="5" s="1"/>
  <c r="O18" i="6"/>
  <c r="H17" i="6"/>
  <c r="F15" i="7"/>
  <c r="B15" i="7" s="1"/>
  <c r="F15" i="2"/>
  <c r="F15" i="5"/>
  <c r="F15" i="3"/>
  <c r="B15" i="3" s="1"/>
  <c r="F15" i="1"/>
  <c r="B15" i="6"/>
  <c r="H16" i="7"/>
  <c r="H16" i="1"/>
  <c r="H16" i="5"/>
  <c r="H16" i="2"/>
  <c r="H16" i="3"/>
  <c r="F16" i="6"/>
  <c r="B14" i="8"/>
  <c r="C14" i="8"/>
  <c r="C15" i="7"/>
  <c r="J16" i="7"/>
  <c r="K16" i="7" s="1"/>
  <c r="M16" i="8"/>
  <c r="H15" i="8"/>
  <c r="F15" i="8" s="1"/>
  <c r="J15" i="8"/>
  <c r="K15" i="8" s="1"/>
  <c r="D13" i="6"/>
  <c r="I53" i="4" s="1"/>
  <c r="T20" i="1"/>
  <c r="D14" i="5"/>
  <c r="G54" i="4" s="1"/>
  <c r="Q21" i="3"/>
  <c r="T20" i="3"/>
  <c r="W19" i="2"/>
  <c r="X19" i="2" s="1"/>
  <c r="T19" i="2"/>
  <c r="J19" i="2" s="1"/>
  <c r="C18" i="2"/>
  <c r="K18" i="2"/>
  <c r="Q20" i="2"/>
  <c r="J19" i="1"/>
  <c r="K19" i="1" s="1"/>
  <c r="C14" i="6"/>
  <c r="X20" i="6"/>
  <c r="M16" i="6"/>
  <c r="J15" i="6"/>
  <c r="K15" i="6" s="1"/>
  <c r="C15" i="5"/>
  <c r="M17" i="5"/>
  <c r="J16" i="5"/>
  <c r="K16" i="5" s="1"/>
  <c r="W20" i="1"/>
  <c r="X20" i="1" s="1"/>
  <c r="C18" i="1"/>
  <c r="K18" i="3"/>
  <c r="D16" i="1"/>
  <c r="D55" i="4"/>
  <c r="W20" i="3"/>
  <c r="X19" i="3"/>
  <c r="J19" i="3"/>
  <c r="E53" i="4"/>
  <c r="D14" i="2"/>
  <c r="C18" i="3"/>
  <c r="Q21" i="1"/>
  <c r="O21" i="1" s="1"/>
  <c r="D15" i="3"/>
  <c r="F54" i="4"/>
  <c r="D15" i="7" l="1"/>
  <c r="M55" i="4" s="1"/>
  <c r="Q25" i="8"/>
  <c r="W25" i="8" s="1"/>
  <c r="X25" i="8" s="1"/>
  <c r="W24" i="8"/>
  <c r="X24" i="8" s="1"/>
  <c r="D14" i="8"/>
  <c r="K54" i="4" s="1"/>
  <c r="B15" i="5"/>
  <c r="B15" i="2"/>
  <c r="B15" i="1"/>
  <c r="G18" i="8"/>
  <c r="T18" i="5"/>
  <c r="R19" i="5"/>
  <c r="T19" i="8" s="1"/>
  <c r="W18" i="5"/>
  <c r="X18" i="5" s="1"/>
  <c r="B16" i="6"/>
  <c r="H17" i="7"/>
  <c r="H17" i="2"/>
  <c r="H17" i="3"/>
  <c r="H17" i="5"/>
  <c r="H17" i="1"/>
  <c r="F17" i="6"/>
  <c r="O19" i="6"/>
  <c r="H18" i="6"/>
  <c r="F16" i="2"/>
  <c r="F16" i="1"/>
  <c r="F16" i="3"/>
  <c r="B16" i="3" s="1"/>
  <c r="F16" i="7"/>
  <c r="B16" i="7" s="1"/>
  <c r="F16" i="5"/>
  <c r="B15" i="8"/>
  <c r="C16" i="7"/>
  <c r="J17" i="7"/>
  <c r="K17" i="7" s="1"/>
  <c r="C15" i="8"/>
  <c r="M17" i="8"/>
  <c r="H16" i="8"/>
  <c r="F16" i="8" s="1"/>
  <c r="J16" i="8"/>
  <c r="K16" i="8" s="1"/>
  <c r="D14" i="6"/>
  <c r="I54" i="4" s="1"/>
  <c r="T21" i="1"/>
  <c r="D15" i="5"/>
  <c r="G55" i="4" s="1"/>
  <c r="Q22" i="3"/>
  <c r="T21" i="3"/>
  <c r="W20" i="2"/>
  <c r="X20" i="2" s="1"/>
  <c r="T20" i="2"/>
  <c r="J20" i="2" s="1"/>
  <c r="C19" i="2"/>
  <c r="K19" i="2"/>
  <c r="Q21" i="2"/>
  <c r="J20" i="1"/>
  <c r="K20" i="1" s="1"/>
  <c r="C19" i="1"/>
  <c r="M17" i="6"/>
  <c r="J16" i="6"/>
  <c r="K16" i="6" s="1"/>
  <c r="X21" i="6"/>
  <c r="C15" i="6"/>
  <c r="C16" i="5"/>
  <c r="M18" i="5"/>
  <c r="J17" i="5"/>
  <c r="K17" i="5" s="1"/>
  <c r="W21" i="1"/>
  <c r="X21" i="1" s="1"/>
  <c r="K19" i="3"/>
  <c r="C19" i="3"/>
  <c r="D16" i="3"/>
  <c r="F55" i="4"/>
  <c r="E54" i="4"/>
  <c r="D15" i="2"/>
  <c r="Q22" i="1"/>
  <c r="O22" i="1" s="1"/>
  <c r="X20" i="3"/>
  <c r="W21" i="3"/>
  <c r="J20" i="3"/>
  <c r="D56" i="4"/>
  <c r="D17" i="1"/>
  <c r="D16" i="7" l="1"/>
  <c r="M56" i="4" s="1"/>
  <c r="B17" i="6"/>
  <c r="D15" i="8"/>
  <c r="K55" i="4" s="1"/>
  <c r="B16" i="2"/>
  <c r="B16" i="5"/>
  <c r="B16" i="1"/>
  <c r="G19" i="8"/>
  <c r="T19" i="5"/>
  <c r="W19" i="5"/>
  <c r="R20" i="5"/>
  <c r="T20" i="8" s="1"/>
  <c r="B16" i="8"/>
  <c r="O20" i="6"/>
  <c r="H19" i="6"/>
  <c r="F17" i="7"/>
  <c r="B17" i="7" s="1"/>
  <c r="F17" i="2"/>
  <c r="F17" i="5"/>
  <c r="F17" i="3"/>
  <c r="B17" i="3" s="1"/>
  <c r="F17" i="1"/>
  <c r="H18" i="7"/>
  <c r="H18" i="3"/>
  <c r="H18" i="1"/>
  <c r="H18" i="5"/>
  <c r="H18" i="2"/>
  <c r="F18" i="6"/>
  <c r="C17" i="7"/>
  <c r="J18" i="7"/>
  <c r="K18" i="7" s="1"/>
  <c r="M18" i="8"/>
  <c r="H17" i="8"/>
  <c r="F17" i="8" s="1"/>
  <c r="J17" i="8"/>
  <c r="K17" i="8" s="1"/>
  <c r="C16" i="8"/>
  <c r="D15" i="6"/>
  <c r="I55" i="4" s="1"/>
  <c r="T22" i="1"/>
  <c r="D16" i="5"/>
  <c r="G56" i="4" s="1"/>
  <c r="Q23" i="3"/>
  <c r="T22" i="3"/>
  <c r="K20" i="2"/>
  <c r="W21" i="2"/>
  <c r="X21" i="2" s="1"/>
  <c r="T21" i="2"/>
  <c r="J21" i="2" s="1"/>
  <c r="C20" i="2"/>
  <c r="Q22" i="2"/>
  <c r="C20" i="1"/>
  <c r="J21" i="1"/>
  <c r="K21" i="1" s="1"/>
  <c r="C16" i="6"/>
  <c r="X22" i="6"/>
  <c r="M18" i="6"/>
  <c r="J17" i="6"/>
  <c r="K17" i="6" s="1"/>
  <c r="M19" i="5"/>
  <c r="J18" i="5"/>
  <c r="K18" i="5" s="1"/>
  <c r="C17" i="5"/>
  <c r="W22" i="1"/>
  <c r="X22" i="1" s="1"/>
  <c r="K20" i="3"/>
  <c r="C20" i="3"/>
  <c r="E55" i="4"/>
  <c r="D16" i="2"/>
  <c r="D18" i="1"/>
  <c r="D57" i="4"/>
  <c r="W22" i="3"/>
  <c r="J21" i="3"/>
  <c r="X21" i="3"/>
  <c r="Q23" i="1"/>
  <c r="O23" i="1" s="1"/>
  <c r="F56" i="4"/>
  <c r="D17" i="3"/>
  <c r="D17" i="7" l="1"/>
  <c r="M57" i="4" s="1"/>
  <c r="B18" i="6"/>
  <c r="B17" i="5"/>
  <c r="D16" i="8"/>
  <c r="K56" i="4" s="1"/>
  <c r="B17" i="2"/>
  <c r="B17" i="1"/>
  <c r="G20" i="8"/>
  <c r="R21" i="5"/>
  <c r="T21" i="8" s="1"/>
  <c r="T20" i="5"/>
  <c r="W20" i="5"/>
  <c r="X20" i="5" s="1"/>
  <c r="B17" i="8"/>
  <c r="O21" i="6"/>
  <c r="H20" i="6"/>
  <c r="H19" i="7"/>
  <c r="H19" i="2"/>
  <c r="H19" i="3"/>
  <c r="H19" i="1"/>
  <c r="H19" i="5"/>
  <c r="F19" i="6"/>
  <c r="F18" i="1"/>
  <c r="F18" i="7"/>
  <c r="B18" i="7" s="1"/>
  <c r="F18" i="3"/>
  <c r="B18" i="3" s="1"/>
  <c r="F18" i="2"/>
  <c r="F18" i="5"/>
  <c r="C17" i="8"/>
  <c r="J19" i="7"/>
  <c r="K19" i="7" s="1"/>
  <c r="C18" i="7"/>
  <c r="M19" i="8"/>
  <c r="H18" i="8"/>
  <c r="F18" i="8" s="1"/>
  <c r="J18" i="8"/>
  <c r="K18" i="8" s="1"/>
  <c r="D16" i="6"/>
  <c r="I56" i="4" s="1"/>
  <c r="T23" i="1"/>
  <c r="D17" i="5"/>
  <c r="G57" i="4" s="1"/>
  <c r="K21" i="2"/>
  <c r="Q24" i="3"/>
  <c r="T23" i="3"/>
  <c r="W22" i="2"/>
  <c r="X22" i="2" s="1"/>
  <c r="T22" i="2"/>
  <c r="J22" i="2" s="1"/>
  <c r="C21" i="2"/>
  <c r="Q23" i="2"/>
  <c r="C21" i="1"/>
  <c r="J22" i="1"/>
  <c r="K22" i="1" s="1"/>
  <c r="M19" i="6"/>
  <c r="J18" i="6"/>
  <c r="K18" i="6" s="1"/>
  <c r="X23" i="6"/>
  <c r="C17" i="6"/>
  <c r="C18" i="5"/>
  <c r="M20" i="5"/>
  <c r="J19" i="5"/>
  <c r="W23" i="1"/>
  <c r="X23" i="1" s="1"/>
  <c r="Q24" i="1"/>
  <c r="O24" i="1" s="1"/>
  <c r="F57" i="4"/>
  <c r="D18" i="3"/>
  <c r="E56" i="4"/>
  <c r="D17" i="2"/>
  <c r="K21" i="3"/>
  <c r="W23" i="3"/>
  <c r="X22" i="3"/>
  <c r="J22" i="3"/>
  <c r="D19" i="1"/>
  <c r="D58" i="4"/>
  <c r="C21" i="3"/>
  <c r="D18" i="7" l="1"/>
  <c r="M58" i="4" s="1"/>
  <c r="B19" i="6"/>
  <c r="D17" i="8"/>
  <c r="K57" i="4" s="1"/>
  <c r="B18" i="5"/>
  <c r="B18" i="2"/>
  <c r="B18" i="1"/>
  <c r="G21" i="8"/>
  <c r="T21" i="5"/>
  <c r="R22" i="5"/>
  <c r="T22" i="8" s="1"/>
  <c r="W21" i="5"/>
  <c r="X21" i="5" s="1"/>
  <c r="B18" i="8"/>
  <c r="F19" i="2"/>
  <c r="F19" i="5"/>
  <c r="F19" i="3"/>
  <c r="B19" i="3" s="1"/>
  <c r="F19" i="7"/>
  <c r="B19" i="7" s="1"/>
  <c r="F19" i="1"/>
  <c r="H20" i="7"/>
  <c r="H20" i="5"/>
  <c r="H20" i="3"/>
  <c r="H20" i="1"/>
  <c r="H20" i="2"/>
  <c r="F20" i="6"/>
  <c r="O22" i="6"/>
  <c r="H21" i="6"/>
  <c r="C19" i="7"/>
  <c r="J20" i="7"/>
  <c r="K20" i="7" s="1"/>
  <c r="M20" i="8"/>
  <c r="H19" i="8"/>
  <c r="F19" i="8" s="1"/>
  <c r="J19" i="8"/>
  <c r="K19" i="8" s="1"/>
  <c r="C18" i="8"/>
  <c r="D17" i="6"/>
  <c r="I57" i="4" s="1"/>
  <c r="T24" i="1"/>
  <c r="D18" i="5"/>
  <c r="G58" i="4" s="1"/>
  <c r="Q25" i="3"/>
  <c r="T25" i="3" s="1"/>
  <c r="T24" i="3"/>
  <c r="K22" i="2"/>
  <c r="W23" i="2"/>
  <c r="X23" i="2" s="1"/>
  <c r="T23" i="2"/>
  <c r="J23" i="2" s="1"/>
  <c r="C22" i="2"/>
  <c r="Q24" i="2"/>
  <c r="C22" i="1"/>
  <c r="C18" i="6"/>
  <c r="M20" i="6"/>
  <c r="J19" i="6"/>
  <c r="K19" i="6" s="1"/>
  <c r="X24" i="6"/>
  <c r="C19" i="5"/>
  <c r="M21" i="5"/>
  <c r="J20" i="5"/>
  <c r="K20" i="5" s="1"/>
  <c r="W24" i="1"/>
  <c r="X24" i="1" s="1"/>
  <c r="J23" i="1"/>
  <c r="K23" i="1" s="1"/>
  <c r="K22" i="3"/>
  <c r="W24" i="3"/>
  <c r="X23" i="3"/>
  <c r="J23" i="3"/>
  <c r="C22" i="3"/>
  <c r="D20" i="1"/>
  <c r="D59" i="4"/>
  <c r="D18" i="2"/>
  <c r="E57" i="4"/>
  <c r="F58" i="4"/>
  <c r="D19" i="3"/>
  <c r="Q25" i="1"/>
  <c r="O25" i="1" s="1"/>
  <c r="D19" i="7" l="1"/>
  <c r="M59" i="4" s="1"/>
  <c r="B19" i="5"/>
  <c r="D18" i="8"/>
  <c r="K58" i="4" s="1"/>
  <c r="B19" i="2"/>
  <c r="B19" i="1"/>
  <c r="G22" i="8"/>
  <c r="R23" i="5"/>
  <c r="T23" i="8" s="1"/>
  <c r="W22" i="5"/>
  <c r="X22" i="5" s="1"/>
  <c r="T22" i="5"/>
  <c r="B19" i="8"/>
  <c r="F20" i="2"/>
  <c r="F20" i="5"/>
  <c r="F20" i="1"/>
  <c r="F20" i="3"/>
  <c r="B20" i="3" s="1"/>
  <c r="F20" i="7"/>
  <c r="B20" i="7" s="1"/>
  <c r="B20" i="6"/>
  <c r="O23" i="6"/>
  <c r="H22" i="6"/>
  <c r="H21" i="7"/>
  <c r="H21" i="3"/>
  <c r="H21" i="5"/>
  <c r="H21" i="2"/>
  <c r="H21" i="1"/>
  <c r="F21" i="6"/>
  <c r="C19" i="8"/>
  <c r="D18" i="6"/>
  <c r="I58" i="4" s="1"/>
  <c r="C20" i="7"/>
  <c r="J21" i="7"/>
  <c r="K21" i="7" s="1"/>
  <c r="M21" i="8"/>
  <c r="H20" i="8"/>
  <c r="F20" i="8" s="1"/>
  <c r="J20" i="8"/>
  <c r="K20" i="8" s="1"/>
  <c r="T25" i="1"/>
  <c r="W24" i="2"/>
  <c r="X24" i="2" s="1"/>
  <c r="T24" i="2"/>
  <c r="J24" i="2" s="1"/>
  <c r="Q25" i="2"/>
  <c r="C23" i="2"/>
  <c r="K23" i="2"/>
  <c r="J24" i="1"/>
  <c r="K24" i="1" s="1"/>
  <c r="X25" i="6"/>
  <c r="M21" i="6"/>
  <c r="J20" i="6"/>
  <c r="K20" i="6" s="1"/>
  <c r="C19" i="6"/>
  <c r="M22" i="5"/>
  <c r="J21" i="5"/>
  <c r="K21" i="5" s="1"/>
  <c r="C20" i="5"/>
  <c r="W25" i="1"/>
  <c r="X25" i="1" s="1"/>
  <c r="C23" i="1"/>
  <c r="K23" i="3"/>
  <c r="C23" i="3"/>
  <c r="D19" i="2"/>
  <c r="E58" i="4"/>
  <c r="D60" i="4"/>
  <c r="D21" i="1"/>
  <c r="X24" i="3"/>
  <c r="J24" i="3"/>
  <c r="W25" i="3"/>
  <c r="F59" i="4"/>
  <c r="D20" i="3"/>
  <c r="D20" i="7" l="1"/>
  <c r="M60" i="4" s="1"/>
  <c r="B20" i="5"/>
  <c r="D19" i="8"/>
  <c r="K59" i="4" s="1"/>
  <c r="B20" i="2"/>
  <c r="B20" i="1"/>
  <c r="D19" i="6"/>
  <c r="I59" i="4" s="1"/>
  <c r="G23" i="8"/>
  <c r="W23" i="5"/>
  <c r="X23" i="5" s="1"/>
  <c r="T23" i="5"/>
  <c r="R24" i="5"/>
  <c r="T24" i="8" s="1"/>
  <c r="B20" i="8"/>
  <c r="B21" i="6"/>
  <c r="H22" i="7"/>
  <c r="H22" i="1"/>
  <c r="H22" i="5"/>
  <c r="H22" i="3"/>
  <c r="H22" i="2"/>
  <c r="F22" i="6"/>
  <c r="O24" i="6"/>
  <c r="H23" i="6"/>
  <c r="F21" i="3"/>
  <c r="B21" i="3" s="1"/>
  <c r="F21" i="1"/>
  <c r="F21" i="2"/>
  <c r="F21" i="7"/>
  <c r="B21" i="7" s="1"/>
  <c r="F21" i="5"/>
  <c r="J22" i="7"/>
  <c r="K22" i="7" s="1"/>
  <c r="C21" i="7"/>
  <c r="M22" i="8"/>
  <c r="H21" i="8"/>
  <c r="F21" i="8" s="1"/>
  <c r="J21" i="8"/>
  <c r="K21" i="8" s="1"/>
  <c r="C20" i="8"/>
  <c r="C24" i="1"/>
  <c r="K24" i="2"/>
  <c r="W25" i="2"/>
  <c r="X25" i="2" s="1"/>
  <c r="T25" i="2"/>
  <c r="J25" i="2" s="1"/>
  <c r="J26" i="2" s="1"/>
  <c r="C24" i="2"/>
  <c r="C20" i="6"/>
  <c r="M22" i="6"/>
  <c r="J21" i="6"/>
  <c r="K21" i="6" s="1"/>
  <c r="C21" i="5"/>
  <c r="M23" i="5"/>
  <c r="J22" i="5"/>
  <c r="K22" i="5" s="1"/>
  <c r="J25" i="1"/>
  <c r="K24" i="3"/>
  <c r="C24" i="3"/>
  <c r="F60" i="4"/>
  <c r="D21" i="3"/>
  <c r="J25" i="3"/>
  <c r="X25" i="3"/>
  <c r="D22" i="1"/>
  <c r="D61" i="4"/>
  <c r="D20" i="2"/>
  <c r="E59" i="4"/>
  <c r="D21" i="7" l="1"/>
  <c r="M61" i="4" s="1"/>
  <c r="B21" i="5"/>
  <c r="D20" i="8"/>
  <c r="K60" i="4" s="1"/>
  <c r="B21" i="1"/>
  <c r="C22" i="7"/>
  <c r="B21" i="2"/>
  <c r="D20" i="6"/>
  <c r="I60" i="4" s="1"/>
  <c r="G24" i="8"/>
  <c r="R25" i="5"/>
  <c r="T25" i="8" s="1"/>
  <c r="T24" i="5"/>
  <c r="W24" i="5"/>
  <c r="X24" i="5" s="1"/>
  <c r="B21" i="8"/>
  <c r="H23" i="7"/>
  <c r="H23" i="2"/>
  <c r="H23" i="5"/>
  <c r="H23" i="3"/>
  <c r="H23" i="1"/>
  <c r="F23" i="6"/>
  <c r="O25" i="6"/>
  <c r="H25" i="6" s="1"/>
  <c r="H24" i="6"/>
  <c r="F22" i="5"/>
  <c r="F22" i="3"/>
  <c r="B22" i="3" s="1"/>
  <c r="F22" i="7"/>
  <c r="B22" i="7" s="1"/>
  <c r="F22" i="1"/>
  <c r="F22" i="2"/>
  <c r="B22" i="6"/>
  <c r="C21" i="8"/>
  <c r="J23" i="7"/>
  <c r="K23" i="7" s="1"/>
  <c r="M23" i="8"/>
  <c r="H22" i="8"/>
  <c r="F22" i="8" s="1"/>
  <c r="J22" i="8"/>
  <c r="K22" i="8" s="1"/>
  <c r="C25" i="1"/>
  <c r="C25" i="2"/>
  <c r="K25" i="2"/>
  <c r="K26" i="2" s="1"/>
  <c r="E13" i="4" s="1"/>
  <c r="C21" i="6"/>
  <c r="M23" i="6"/>
  <c r="J22" i="6"/>
  <c r="K22" i="6" s="1"/>
  <c r="C22" i="5"/>
  <c r="M24" i="5"/>
  <c r="J23" i="5"/>
  <c r="K23" i="5" s="1"/>
  <c r="K25" i="1"/>
  <c r="K26" i="1" s="1"/>
  <c r="D13" i="4" s="1"/>
  <c r="J26" i="1"/>
  <c r="C25" i="3"/>
  <c r="D23" i="1"/>
  <c r="D62" i="4"/>
  <c r="K25" i="3"/>
  <c r="K26" i="3" s="1"/>
  <c r="F13" i="4" s="1"/>
  <c r="J26" i="3"/>
  <c r="E60" i="4"/>
  <c r="D21" i="2"/>
  <c r="F61" i="4"/>
  <c r="D22" i="3"/>
  <c r="D22" i="7" l="1"/>
  <c r="M62" i="4" s="1"/>
  <c r="B22" i="5"/>
  <c r="D21" i="8"/>
  <c r="K61" i="4" s="1"/>
  <c r="B22" i="1"/>
  <c r="B22" i="2"/>
  <c r="D21" i="6"/>
  <c r="I61" i="4" s="1"/>
  <c r="G25" i="8"/>
  <c r="T25" i="5"/>
  <c r="W25" i="5"/>
  <c r="X25" i="5" s="1"/>
  <c r="B22" i="8"/>
  <c r="H25" i="7"/>
  <c r="H25" i="3"/>
  <c r="H25" i="2"/>
  <c r="H25" i="1"/>
  <c r="H25" i="5"/>
  <c r="F25" i="6"/>
  <c r="H24" i="7"/>
  <c r="H24" i="5"/>
  <c r="H24" i="2"/>
  <c r="H24" i="3"/>
  <c r="H24" i="1"/>
  <c r="F24" i="6"/>
  <c r="F23" i="1"/>
  <c r="F23" i="3"/>
  <c r="B23" i="3" s="1"/>
  <c r="F23" i="2"/>
  <c r="F23" i="7"/>
  <c r="B23" i="7" s="1"/>
  <c r="F23" i="5"/>
  <c r="B23" i="6"/>
  <c r="M25" i="7"/>
  <c r="J24" i="7"/>
  <c r="K24" i="7" s="1"/>
  <c r="C23" i="7"/>
  <c r="C22" i="8"/>
  <c r="M24" i="8"/>
  <c r="H23" i="8"/>
  <c r="F23" i="8" s="1"/>
  <c r="J23" i="8"/>
  <c r="K23" i="8" s="1"/>
  <c r="M24" i="6"/>
  <c r="J23" i="6"/>
  <c r="K23" i="6" s="1"/>
  <c r="C22" i="6"/>
  <c r="M25" i="5"/>
  <c r="J24" i="5"/>
  <c r="K24" i="5" s="1"/>
  <c r="C23" i="5"/>
  <c r="E61" i="4"/>
  <c r="D22" i="2"/>
  <c r="F62" i="4"/>
  <c r="D23" i="3"/>
  <c r="D24" i="1"/>
  <c r="D63" i="4"/>
  <c r="D23" i="7" l="1"/>
  <c r="M63" i="4" s="1"/>
  <c r="B23" i="5"/>
  <c r="J25" i="5"/>
  <c r="J26" i="5" s="1"/>
  <c r="D22" i="8"/>
  <c r="K62" i="4" s="1"/>
  <c r="B23" i="1"/>
  <c r="B23" i="2"/>
  <c r="D22" i="6"/>
  <c r="I62" i="4" s="1"/>
  <c r="B23" i="8"/>
  <c r="F24" i="7"/>
  <c r="B24" i="7" s="1"/>
  <c r="F24" i="3"/>
  <c r="B24" i="3" s="1"/>
  <c r="F24" i="1"/>
  <c r="F24" i="2"/>
  <c r="F24" i="5"/>
  <c r="F25" i="1"/>
  <c r="F26" i="1" s="1"/>
  <c r="F25" i="5"/>
  <c r="F26" i="5" s="1"/>
  <c r="F25" i="7"/>
  <c r="F25" i="2"/>
  <c r="F25" i="3"/>
  <c r="F26" i="6"/>
  <c r="B24" i="6"/>
  <c r="B25" i="6" s="1"/>
  <c r="C24" i="7"/>
  <c r="J25" i="7"/>
  <c r="M25" i="8"/>
  <c r="H24" i="8"/>
  <c r="F24" i="8" s="1"/>
  <c r="J24" i="8"/>
  <c r="K24" i="8" s="1"/>
  <c r="C23" i="8"/>
  <c r="C23" i="6"/>
  <c r="M25" i="6"/>
  <c r="J25" i="6" s="1"/>
  <c r="J24" i="6"/>
  <c r="K24" i="6" s="1"/>
  <c r="C24" i="5"/>
  <c r="D25" i="1"/>
  <c r="D65" i="4" s="1"/>
  <c r="D64" i="4"/>
  <c r="E62" i="4"/>
  <c r="D23" i="2"/>
  <c r="D24" i="3"/>
  <c r="F63" i="4"/>
  <c r="F26" i="7" l="1"/>
  <c r="K25" i="5"/>
  <c r="C25" i="5"/>
  <c r="F26" i="2"/>
  <c r="D24" i="7"/>
  <c r="M64" i="4" s="1"/>
  <c r="F26" i="3"/>
  <c r="B24" i="5"/>
  <c r="B25" i="5" s="1"/>
  <c r="D23" i="8"/>
  <c r="K63" i="4" s="1"/>
  <c r="B24" i="1"/>
  <c r="B25" i="1" s="1"/>
  <c r="B24" i="2"/>
  <c r="B25" i="2" s="1"/>
  <c r="D23" i="6"/>
  <c r="I63" i="4" s="1"/>
  <c r="B24" i="8"/>
  <c r="B25" i="3"/>
  <c r="K25" i="7"/>
  <c r="J26" i="7"/>
  <c r="C25" i="7"/>
  <c r="B25" i="7"/>
  <c r="C24" i="8"/>
  <c r="H25" i="8"/>
  <c r="F25" i="8" s="1"/>
  <c r="F26" i="8" s="1"/>
  <c r="J25" i="8"/>
  <c r="K25" i="6"/>
  <c r="K26" i="6" s="1"/>
  <c r="I13" i="4" s="1"/>
  <c r="J26" i="6"/>
  <c r="C24" i="6"/>
  <c r="C25" i="6" s="1"/>
  <c r="D24" i="2"/>
  <c r="E63" i="4"/>
  <c r="D25" i="3"/>
  <c r="F65" i="4" s="1"/>
  <c r="F64" i="4"/>
  <c r="D24" i="8" l="1"/>
  <c r="K64" i="4" s="1"/>
  <c r="D24" i="6"/>
  <c r="I64" i="4" s="1"/>
  <c r="K26" i="7"/>
  <c r="D25" i="7"/>
  <c r="M65" i="4" s="1"/>
  <c r="K25" i="8"/>
  <c r="J26" i="8"/>
  <c r="C25" i="8"/>
  <c r="B25" i="8"/>
  <c r="E64" i="4"/>
  <c r="D25" i="2"/>
  <c r="E65" i="4" s="1"/>
  <c r="X19" i="5"/>
  <c r="K19" i="5" s="1"/>
  <c r="D25" i="6" l="1"/>
  <c r="I65" i="4" s="1"/>
  <c r="M13" i="4"/>
  <c r="AE16" i="7"/>
  <c r="K26" i="8"/>
  <c r="K13" i="4" s="1"/>
  <c r="D25" i="8"/>
  <c r="K65" i="4" s="1"/>
  <c r="D19" i="5"/>
  <c r="K26" i="5"/>
  <c r="G13" i="4" s="1"/>
  <c r="D20" i="5" l="1"/>
  <c r="G59" i="4"/>
  <c r="D21" i="5" l="1"/>
  <c r="G60" i="4"/>
  <c r="D22" i="5" l="1"/>
  <c r="G61" i="4"/>
  <c r="D23" i="5" l="1"/>
  <c r="G62" i="4"/>
  <c r="D24" i="5" l="1"/>
  <c r="G63" i="4"/>
  <c r="D25" i="5" l="1"/>
  <c r="G65" i="4" s="1"/>
  <c r="G64" i="4"/>
</calcChain>
</file>

<file path=xl/sharedStrings.xml><?xml version="1.0" encoding="utf-8"?>
<sst xmlns="http://schemas.openxmlformats.org/spreadsheetml/2006/main" count="658" uniqueCount="190">
  <si>
    <t>OPBRENGEND VERMOGEN VEZELGEWASSEN VOOR DE BOER</t>
  </si>
  <si>
    <t>SCENARIOKEUZE</t>
  </si>
  <si>
    <t>variabalen</t>
  </si>
  <si>
    <t>toepassen</t>
  </si>
  <si>
    <t>ConstructionSCC</t>
  </si>
  <si>
    <t>SoilSCC</t>
  </si>
  <si>
    <t>percentage CSCC-boer</t>
  </si>
  <si>
    <t>Minimaal</t>
  </si>
  <si>
    <t>Gemiddeld</t>
  </si>
  <si>
    <t>Optimaal</t>
  </si>
  <si>
    <t xml:space="preserve"> geel = handmatig wijzigen: stel zelf je eigen scenario's samen, één vinkje gebruiken</t>
  </si>
  <si>
    <t>SALDORESULTAAT</t>
  </si>
  <si>
    <t>gewas</t>
  </si>
  <si>
    <t xml:space="preserve">Miscanthus  </t>
  </si>
  <si>
    <t xml:space="preserve">Zonnekroon  </t>
  </si>
  <si>
    <t xml:space="preserve">Hennep  </t>
  </si>
  <si>
    <t>Bamboe</t>
  </si>
  <si>
    <t>gemiddeld saldo / jaar</t>
  </si>
  <si>
    <t>INPUTVARIABELEN</t>
  </si>
  <si>
    <t>groen = gekoppeld aan forumules of scenariovariabelen - niet handmatig wijzigen!</t>
  </si>
  <si>
    <t>centraal verwerkt</t>
  </si>
  <si>
    <t>Miscanthus</t>
  </si>
  <si>
    <t>Zonnekroon</t>
  </si>
  <si>
    <t>Hennep</t>
  </si>
  <si>
    <t>Graan</t>
  </si>
  <si>
    <t>Mais</t>
  </si>
  <si>
    <t>Sorghum</t>
  </si>
  <si>
    <r>
      <t>Bamboe</t>
    </r>
    <r>
      <rPr>
        <b/>
        <vertAlign val="superscript"/>
        <sz val="11"/>
        <color theme="0"/>
        <rFont val="Calibri"/>
        <family val="2"/>
        <scheme val="minor"/>
      </rPr>
      <t>.6</t>
    </r>
  </si>
  <si>
    <t>lokaal verwerkt</t>
  </si>
  <si>
    <t>t.b.v. snippers</t>
  </si>
  <si>
    <t>t.b.v. extractie</t>
  </si>
  <si>
    <t>t.b.v. isolatie+snippers</t>
  </si>
  <si>
    <r>
      <t>stro</t>
    </r>
    <r>
      <rPr>
        <b/>
        <vertAlign val="superscript"/>
        <sz val="10"/>
        <color theme="0"/>
        <rFont val="Calibri"/>
        <family val="2"/>
        <scheme val="minor"/>
      </rPr>
      <t>.5</t>
    </r>
  </si>
  <si>
    <t>korrel</t>
  </si>
  <si>
    <t>vergelijkende teelt</t>
  </si>
  <si>
    <t>stro</t>
  </si>
  <si>
    <t>pluim</t>
  </si>
  <si>
    <t>t.b.v vezels</t>
  </si>
  <si>
    <t>geleverde DS jaar 1</t>
  </si>
  <si>
    <t>geleverde DS jaar 2</t>
  </si>
  <si>
    <t>geleverde DS jaar 3</t>
  </si>
  <si>
    <t>geleverde DS jaar 4</t>
  </si>
  <si>
    <t>transportkosten verwerking / ha</t>
  </si>
  <si>
    <r>
      <t>prijs per ton geleverde DS</t>
    </r>
    <r>
      <rPr>
        <vertAlign val="superscript"/>
        <sz val="11"/>
        <color theme="1"/>
        <rFont val="Calibri"/>
        <family val="2"/>
        <scheme val="minor"/>
      </rPr>
      <t>.1</t>
    </r>
  </si>
  <si>
    <r>
      <t>opbrengstverhogende bewerking/ton</t>
    </r>
    <r>
      <rPr>
        <vertAlign val="superscript"/>
        <sz val="11"/>
        <color theme="1"/>
        <rFont val="Calibri"/>
        <family val="2"/>
        <scheme val="minor"/>
      </rPr>
      <t>.3</t>
    </r>
  </si>
  <si>
    <t>nvt</t>
  </si>
  <si>
    <t>percentage DS voor CSCC</t>
  </si>
  <si>
    <r>
      <t>prijs ConstructionSCCredits</t>
    </r>
    <r>
      <rPr>
        <vertAlign val="superscript"/>
        <sz val="11"/>
        <color theme="1"/>
        <rFont val="Calibri"/>
        <family val="2"/>
        <scheme val="minor"/>
      </rPr>
      <t>.2</t>
    </r>
  </si>
  <si>
    <t>percentage naar boer</t>
  </si>
  <si>
    <t>prijs SoilSCCredits</t>
  </si>
  <si>
    <t>2a. Prijs CSCC scenario optimaal gebaseerd op ervaring met Valuta voor Veen en Greeninclusive m.b.t. hennep</t>
  </si>
  <si>
    <t>2b. Prijs CSCC scenario verwachting korte termijn gebaseerd op prijzen van Puro.Earth ca. € 30/ton</t>
  </si>
  <si>
    <t>3. bijvoorbeeld hakselen, zeven, ontstoffen van MIscnathus - 60 euro per ton</t>
  </si>
  <si>
    <t>6. De exploitatieperiode van 15 jaar is voor Bamboe tekort, bij een periode van 30 jaar loopt het gemidddeld saldo op met een factor 1,25 - SSCC zijn ex-ante opgenomen</t>
  </si>
  <si>
    <t xml:space="preserve">RESULTAAT CUMMULATIEF </t>
  </si>
  <si>
    <t>Graan (zand)</t>
  </si>
  <si>
    <t xml:space="preserve">Saldo meerjarige teelt vs. rotatieteelt </t>
  </si>
  <si>
    <t>INPUTBLAD</t>
  </si>
  <si>
    <t>boer:</t>
  </si>
  <si>
    <t>Cummulatief</t>
  </si>
  <si>
    <t>Vergelijkende teelt</t>
  </si>
  <si>
    <t>Netto saldo miscanthus/jr</t>
  </si>
  <si>
    <t>Kosten miscanthus</t>
  </si>
  <si>
    <t>Droge Stof Opbrengst</t>
  </si>
  <si>
    <t>Saldo zonder
 credits</t>
  </si>
  <si>
    <t xml:space="preserve">Saldo met 
credits </t>
  </si>
  <si>
    <t>saldo snijmais</t>
  </si>
  <si>
    <t xml:space="preserve">opbrengst snijmais </t>
  </si>
  <si>
    <t xml:space="preserve">Kosten snijmais </t>
  </si>
  <si>
    <t>Saldo zonder credits</t>
  </si>
  <si>
    <t>Kosten 
teelt</t>
  </si>
  <si>
    <t>bodem verbetering</t>
  </si>
  <si>
    <t xml:space="preserve">oogsten/ha </t>
  </si>
  <si>
    <t>ton vezels/ha</t>
  </si>
  <si>
    <t>opbrengst/ha</t>
  </si>
  <si>
    <t>CO2 in bodem</t>
  </si>
  <si>
    <t>CO2 in gewas</t>
  </si>
  <si>
    <t>GLB</t>
  </si>
  <si>
    <t>gemiddeld</t>
  </si>
  <si>
    <t>Netto saldo sorghum/jr</t>
  </si>
  <si>
    <t>Kosten zonnekroon</t>
  </si>
  <si>
    <t>oogsten/ha</t>
  </si>
  <si>
    <t xml:space="preserve">TEELTBEGROTING </t>
  </si>
  <si>
    <t>1. Grondbewerking</t>
  </si>
  <si>
    <t>hoeveelheid</t>
  </si>
  <si>
    <t>eenheid</t>
  </si>
  <si>
    <t>prijs / eenheid</t>
  </si>
  <si>
    <t>totaal</t>
  </si>
  <si>
    <t>jaar 1</t>
  </si>
  <si>
    <t>jaar 2</t>
  </si>
  <si>
    <t>jaar 3</t>
  </si>
  <si>
    <t>a. BIO hakfrees</t>
  </si>
  <si>
    <t>uur</t>
  </si>
  <si>
    <t>b. ECO-ploeg + kopeg</t>
  </si>
  <si>
    <t>ha</t>
  </si>
  <si>
    <t>2. Zaaien</t>
  </si>
  <si>
    <t>a. Zaaien</t>
  </si>
  <si>
    <t>b. Zaaizaad</t>
  </si>
  <si>
    <t>kg</t>
  </si>
  <si>
    <t>3. Bemesting</t>
  </si>
  <si>
    <t>a. Kalk strooien</t>
  </si>
  <si>
    <t>b. kalk</t>
  </si>
  <si>
    <t>a. Zodebemester</t>
  </si>
  <si>
    <t>b. Mest</t>
  </si>
  <si>
    <t>m3 rvdm</t>
  </si>
  <si>
    <t>4. Oogsten</t>
  </si>
  <si>
    <t>a. Hakselen</t>
  </si>
  <si>
    <t>0,5</t>
  </si>
  <si>
    <t>b. Keren en schudden</t>
  </si>
  <si>
    <t>keer</t>
  </si>
  <si>
    <t>c. Harken</t>
  </si>
  <si>
    <t>d. Balenpersen</t>
  </si>
  <si>
    <t>e. Balen laden</t>
  </si>
  <si>
    <t xml:space="preserve">f. Transport </t>
  </si>
  <si>
    <t>baal</t>
  </si>
  <si>
    <t>5. Beregenen</t>
  </si>
  <si>
    <t xml:space="preserve">a. Beregenen </t>
  </si>
  <si>
    <t>pw</t>
  </si>
  <si>
    <t>5. Management</t>
  </si>
  <si>
    <t>a. Teeltbegeleiding</t>
  </si>
  <si>
    <t>6. Landbouwgrond</t>
  </si>
  <si>
    <t>a. Vergoeding aan boer</t>
  </si>
  <si>
    <t>Cummulatief vergelijk</t>
  </si>
  <si>
    <t>Netto saldo /jr</t>
  </si>
  <si>
    <t>Kosten per ha / jr</t>
  </si>
  <si>
    <t>vergelijkende
 teelt</t>
  </si>
  <si>
    <t>ton zaad/ha</t>
  </si>
  <si>
    <t>a. Zaaien en spitten</t>
  </si>
  <si>
    <t xml:space="preserve">b. Mest </t>
  </si>
  <si>
    <t>d. Balen persen</t>
  </si>
  <si>
    <t>f. Transport naar Hempflax</t>
  </si>
  <si>
    <t>g. Opslag + laden</t>
  </si>
  <si>
    <t>6. Management</t>
  </si>
  <si>
    <t>7. Landbouwgrond</t>
  </si>
  <si>
    <t>ton/ha vezels</t>
  </si>
  <si>
    <t>ton/ha graan</t>
  </si>
  <si>
    <t>b. Mest Drijfmest</t>
  </si>
  <si>
    <t>c. Kunstmest N</t>
  </si>
  <si>
    <t>kg N/ha</t>
  </si>
  <si>
    <t>d. Kunstmest K</t>
  </si>
  <si>
    <t>kg K/ha</t>
  </si>
  <si>
    <t>e. Gewasbescherming</t>
  </si>
  <si>
    <t>f. Diesel machines</t>
  </si>
  <si>
    <t>ltr</t>
  </si>
  <si>
    <t xml:space="preserve">a. Combine </t>
  </si>
  <si>
    <t>e. Laden, Transport en opslag</t>
  </si>
  <si>
    <t>GEOOGST VOOR RAW BLOCK SYSTEMS</t>
  </si>
  <si>
    <t>d. Balenpersen - speciaal</t>
  </si>
  <si>
    <t xml:space="preserve">e. Balen laden - speciaal </t>
  </si>
  <si>
    <t>f. Transport en opslag</t>
  </si>
  <si>
    <t>oogsten + overig</t>
  </si>
  <si>
    <t xml:space="preserve">ton/ha </t>
  </si>
  <si>
    <t>a. Zaaien - spitten</t>
  </si>
  <si>
    <t>b. Mest drijfmest</t>
  </si>
  <si>
    <t>f. Transport</t>
  </si>
  <si>
    <t>5. Oogsten</t>
  </si>
  <si>
    <t>a. Maaien en hakselen</t>
  </si>
  <si>
    <t>ton/ha 
voedsel</t>
  </si>
  <si>
    <t>ton/ha 
palen</t>
  </si>
  <si>
    <t>bron: Bamboologic</t>
  </si>
  <si>
    <t>opbrengst palen</t>
  </si>
  <si>
    <t>/ton</t>
  </si>
  <si>
    <t>opbrengst voedsel</t>
  </si>
  <si>
    <r>
      <rPr>
        <b/>
        <i/>
        <sz val="12"/>
        <color theme="1"/>
        <rFont val="Calibri"/>
        <family val="2"/>
        <scheme val="minor"/>
      </rPr>
      <t>Let op:</t>
    </r>
    <r>
      <rPr>
        <sz val="12"/>
        <color theme="1"/>
        <rFont val="Calibri"/>
        <family val="2"/>
        <scheme val="minor"/>
      </rPr>
      <t xml:space="preserve"> het is bij Bamboe effectiever om uit te gaan van een langere periode dan 15 jaar. Bij een periode van 30 jaar loopt het gemiddelde saldo op met een factor 1,25. </t>
    </r>
  </si>
  <si>
    <t>Gemiddeld saldo met credits 30 jaar</t>
  </si>
  <si>
    <t>incl.</t>
  </si>
  <si>
    <t xml:space="preserve">190 euro stro -&gt; ik denk eerder 125; als balen stro …. Maar bewerkt? </t>
  </si>
  <si>
    <t>160 euro per ton graan (korrels) -&gt; eerder 250 momenteel; maar als je het voor de afgelopen 20 jaar bekijkt zat je met 160 vast realistisch.</t>
  </si>
  <si>
    <t xml:space="preserve">Grondkosten voor een boer zou ik 1000 euro per ha voor rekenen. </t>
  </si>
  <si>
    <t>Diesel is nu niets ingevuld; ja wel 130 liter per ha maar geen prijs per liter; als je bv 1,40 euro per liter neemt. Misschien bewust geen prijs omdat het al in de prijs van andere activiteiten is inberekend; of vergeten…. ?</t>
  </si>
  <si>
    <t xml:space="preserve">Iig kom je met bovenstaande al op een heel ander saldo per ha. </t>
  </si>
  <si>
    <t>Willem Rienks</t>
  </si>
  <si>
    <t xml:space="preserve">Wij gaan uit van de korte ketens en zo rechtstreekse levering van boer naar verwerker. Dit is de prijs die Raw Block Systems op dit moment betaald aan de leverancier van stro. Dat stro kan volgens mij ook rechtstreeks door boeren afgeleverd worden bij Raw Block Systems. Voor inblaasstro geldt een nog hogere prijs maar dan moet het wel gezeefd en ontstoft zijn en moet er ergens een (coöperatieve) opslagunit neergezet worden. </t>
  </si>
  <si>
    <t>Omdat die grondfactor voor iedere boer fors scheelt heb ik die niet ingevuld. Die zou ik nog toe kunnen voegen in de scenario’s zodat men de eigen grondkosten kan invullen. Idee?</t>
  </si>
  <si>
    <t xml:space="preserve">Klopt, de kosten heb ik niet ingevuld omdat het onderdeel is van de prijzen inderdaad. Maar ik heb ‘m wel laten staan als aandachtspunt .. zal er ‘inclusief’ bij zetten. </t>
  </si>
  <si>
    <t>facultatieve toevoeging</t>
  </si>
  <si>
    <t>grondcomponent</t>
  </si>
  <si>
    <t>GLB ecoregeling</t>
  </si>
  <si>
    <t>GLB basispremie</t>
  </si>
  <si>
    <r>
      <t>GLB opbrengst basispremie</t>
    </r>
    <r>
      <rPr>
        <vertAlign val="superscript"/>
        <sz val="11"/>
        <color theme="1"/>
        <rFont val="Calibri"/>
        <family val="2"/>
        <scheme val="minor"/>
      </rPr>
      <t>.4</t>
    </r>
  </si>
  <si>
    <t>brons</t>
  </si>
  <si>
    <t>geen eco-dienst</t>
  </si>
  <si>
    <t>goud</t>
  </si>
  <si>
    <r>
      <t>GLB opbrengst eco-systeemdienst</t>
    </r>
    <r>
      <rPr>
        <vertAlign val="superscript"/>
        <sz val="11"/>
        <color theme="1"/>
        <rFont val="Calibri"/>
        <family val="2"/>
        <scheme val="minor"/>
      </rPr>
      <t>.4</t>
    </r>
  </si>
  <si>
    <t>zilver</t>
  </si>
  <si>
    <t>overige bedrijfslasten</t>
  </si>
  <si>
    <t>wordt rechtstreeks afgetrokken als kosten</t>
  </si>
  <si>
    <t>V2.0 - 120523</t>
  </si>
  <si>
    <t>5. zowel de oogstwijze als de prijs is gebasseerd inblaasisolatie - voorprefab balenbouw geldt een andere oogstmethode</t>
  </si>
  <si>
    <t>4. de basispremie bedraagt 220 euro per hectare voor de eerste 40 ha mag daar 54 euro bijgeteld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</si>
</sst>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quot;€&quot;\ #,##0.00"/>
    <numFmt numFmtId="167" formatCode="&quot;€&quot;\ #,##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sz val="8"/>
      <name val="Calibri"/>
      <family val="2"/>
      <scheme val="minor"/>
    </font>
    <font>
      <b/>
      <sz val="24"/>
      <color theme="1"/>
      <name val="Calibri"/>
      <family val="2"/>
      <scheme val="minor"/>
    </font>
    <font>
      <sz val="10"/>
      <color theme="1"/>
      <name val="Calibri"/>
      <family val="2"/>
      <scheme val="minor"/>
    </font>
    <font>
      <sz val="10"/>
      <color theme="0"/>
      <name val="Calibri"/>
      <family val="2"/>
      <scheme val="minor"/>
    </font>
    <font>
      <i/>
      <sz val="11"/>
      <color theme="4" tint="-0.499984740745262"/>
      <name val="Calibri"/>
      <family val="2"/>
      <scheme val="minor"/>
    </font>
    <font>
      <b/>
      <sz val="11"/>
      <color theme="0"/>
      <name val="Calibri"/>
      <family val="2"/>
      <scheme val="minor"/>
    </font>
    <font>
      <b/>
      <sz val="16"/>
      <color theme="1"/>
      <name val="Calibri"/>
      <family val="2"/>
      <scheme val="minor"/>
    </font>
    <font>
      <b/>
      <sz val="12"/>
      <name val="Calibri"/>
      <family val="2"/>
      <scheme val="minor"/>
    </font>
    <font>
      <i/>
      <sz val="11"/>
      <color theme="1"/>
      <name val="Calibri"/>
      <family val="2"/>
      <scheme val="minor"/>
    </font>
    <font>
      <vertAlign val="superscript"/>
      <sz val="11"/>
      <color theme="1"/>
      <name val="Calibri"/>
      <family val="2"/>
      <scheme val="minor"/>
    </font>
    <font>
      <b/>
      <vertAlign val="superscript"/>
      <sz val="11"/>
      <color theme="0"/>
      <name val="Calibri"/>
      <family val="2"/>
      <scheme val="minor"/>
    </font>
    <font>
      <b/>
      <i/>
      <sz val="12"/>
      <color theme="1"/>
      <name val="Calibri"/>
      <family val="2"/>
      <scheme val="minor"/>
    </font>
    <font>
      <b/>
      <sz val="10"/>
      <color theme="0"/>
      <name val="Calibri"/>
      <family val="2"/>
      <scheme val="minor"/>
    </font>
    <font>
      <b/>
      <vertAlign val="superscript"/>
      <sz val="10"/>
      <color theme="0"/>
      <name val="Calibri"/>
      <family val="2"/>
      <scheme val="minor"/>
    </font>
    <font>
      <sz val="11"/>
      <color rgb="FFFF0000"/>
      <name val="Calibri"/>
      <family val="2"/>
      <scheme val="minor"/>
    </font>
    <font>
      <i/>
      <sz val="10"/>
      <color theme="1"/>
      <name val="Calibri"/>
      <family val="2"/>
      <scheme val="minor"/>
    </font>
    <font>
      <b/>
      <i/>
      <sz val="11"/>
      <color rgb="FFFF0000"/>
      <name val="Calibri"/>
      <family val="2"/>
      <scheme val="minor"/>
    </font>
    <font>
      <b/>
      <sz val="22"/>
      <color theme="1"/>
      <name val="Calibri"/>
      <family val="2"/>
      <scheme val="minor"/>
    </font>
  </fonts>
  <fills count="2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rgb="FFC00000"/>
        <bgColor indexed="64"/>
      </patternFill>
    </fill>
    <fill>
      <patternFill patternType="solid">
        <fgColor theme="0"/>
        <bgColor indexed="64"/>
      </patternFill>
    </fill>
    <fill>
      <patternFill patternType="solid">
        <fgColor theme="7"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249977111117893"/>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theme="0"/>
      </left>
      <right style="medium">
        <color theme="0"/>
      </right>
      <top style="thin">
        <color theme="0"/>
      </top>
      <bottom style="medium">
        <color theme="0"/>
      </bottom>
      <diagonal/>
    </border>
    <border>
      <left style="thin">
        <color theme="0"/>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style="thin">
        <color indexed="64"/>
      </right>
      <top style="thin">
        <color theme="0"/>
      </top>
      <bottom style="medium">
        <color theme="0"/>
      </bottom>
      <diagonal/>
    </border>
    <border>
      <left style="medium">
        <color theme="0"/>
      </left>
      <right/>
      <top style="thin">
        <color theme="0"/>
      </top>
      <bottom style="medium">
        <color theme="0"/>
      </bottom>
      <diagonal/>
    </border>
    <border>
      <left style="medium">
        <color theme="0"/>
      </left>
      <right style="thin">
        <color theme="0"/>
      </right>
      <top style="thin">
        <color theme="0"/>
      </top>
      <bottom style="medium">
        <color theme="0"/>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indexed="64"/>
      </right>
      <top style="medium">
        <color theme="0"/>
      </top>
      <bottom style="thin">
        <color theme="0"/>
      </bottom>
      <diagonal/>
    </border>
    <border>
      <left style="medium">
        <color theme="0"/>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style="thin">
        <color indexed="64"/>
      </left>
      <right style="thin">
        <color indexed="64"/>
      </right>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338">
    <xf numFmtId="0" fontId="0" fillId="0" borderId="0" xfId="0"/>
    <xf numFmtId="0" fontId="4" fillId="0" borderId="0" xfId="0" applyFont="1"/>
    <xf numFmtId="0" fontId="0" fillId="0" borderId="0" xfId="0" applyAlignment="1">
      <alignment wrapText="1"/>
    </xf>
    <xf numFmtId="0" fontId="0" fillId="2" borderId="1" xfId="0" applyFill="1" applyBorder="1"/>
    <xf numFmtId="0" fontId="0" fillId="3" borderId="2" xfId="0" applyFill="1" applyBorder="1" applyAlignment="1">
      <alignment horizontal="right"/>
    </xf>
    <xf numFmtId="0" fontId="0" fillId="4" borderId="2" xfId="0" applyFill="1" applyBorder="1" applyAlignment="1">
      <alignment horizontal="right"/>
    </xf>
    <xf numFmtId="9" fontId="0" fillId="4" borderId="3" xfId="2" applyFont="1" applyFill="1" applyBorder="1"/>
    <xf numFmtId="0" fontId="0" fillId="5" borderId="1" xfId="0" applyFill="1" applyBorder="1"/>
    <xf numFmtId="0" fontId="4" fillId="3" borderId="6" xfId="0" applyFont="1" applyFill="1" applyBorder="1"/>
    <xf numFmtId="0" fontId="4" fillId="4" borderId="6" xfId="0" applyFont="1" applyFill="1" applyBorder="1"/>
    <xf numFmtId="164" fontId="4" fillId="4" borderId="7" xfId="1" applyFont="1" applyFill="1" applyBorder="1"/>
    <xf numFmtId="0" fontId="0" fillId="2" borderId="8" xfId="0" applyFill="1" applyBorder="1" applyAlignment="1">
      <alignment horizontal="center" wrapText="1"/>
    </xf>
    <xf numFmtId="0" fontId="0" fillId="5" borderId="8" xfId="0" applyFill="1" applyBorder="1" applyAlignment="1">
      <alignment horizontal="center" wrapText="1"/>
    </xf>
    <xf numFmtId="164" fontId="0" fillId="2" borderId="5" xfId="1" applyFont="1" applyFill="1" applyBorder="1"/>
    <xf numFmtId="0" fontId="0" fillId="3" borderId="6" xfId="0" applyFill="1" applyBorder="1"/>
    <xf numFmtId="0" fontId="0" fillId="4" borderId="6" xfId="0" applyFill="1" applyBorder="1"/>
    <xf numFmtId="164" fontId="0" fillId="4" borderId="7" xfId="1" applyFont="1" applyFill="1" applyBorder="1"/>
    <xf numFmtId="164" fontId="0" fillId="5" borderId="5" xfId="1" applyFont="1" applyFill="1" applyBorder="1"/>
    <xf numFmtId="164" fontId="0" fillId="2" borderId="9" xfId="1" applyFont="1" applyFill="1" applyBorder="1"/>
    <xf numFmtId="0" fontId="0" fillId="3" borderId="10" xfId="0" applyFill="1" applyBorder="1"/>
    <xf numFmtId="0" fontId="0" fillId="4" borderId="10" xfId="0" applyFill="1" applyBorder="1"/>
    <xf numFmtId="164" fontId="0" fillId="4" borderId="11" xfId="1" applyFont="1" applyFill="1" applyBorder="1"/>
    <xf numFmtId="164" fontId="0" fillId="5" borderId="9" xfId="1" applyFont="1" applyFill="1" applyBorder="1"/>
    <xf numFmtId="0" fontId="0" fillId="8" borderId="0" xfId="0" applyFill="1"/>
    <xf numFmtId="0" fontId="4" fillId="8" borderId="0" xfId="0" applyFont="1" applyFill="1"/>
    <xf numFmtId="0" fontId="0" fillId="8" borderId="0" xfId="0" applyFill="1" applyAlignment="1">
      <alignment wrapText="1"/>
    </xf>
    <xf numFmtId="164" fontId="0" fillId="8" borderId="0" xfId="0" applyNumberFormat="1" applyFill="1"/>
    <xf numFmtId="164" fontId="4" fillId="8" borderId="0" xfId="1" applyFont="1" applyFill="1"/>
    <xf numFmtId="0" fontId="0" fillId="8" borderId="0" xfId="0" applyFill="1" applyAlignment="1">
      <alignment horizontal="center" vertical="center" wrapText="1"/>
    </xf>
    <xf numFmtId="0" fontId="0" fillId="8" borderId="0" xfId="0" applyFill="1" applyAlignment="1">
      <alignment horizontal="center"/>
    </xf>
    <xf numFmtId="164" fontId="0" fillId="8" borderId="0" xfId="1" applyFont="1" applyFill="1"/>
    <xf numFmtId="0" fontId="6" fillId="8" borderId="0" xfId="0" applyFont="1" applyFill="1"/>
    <xf numFmtId="0" fontId="4" fillId="8" borderId="0" xfId="0" applyFont="1" applyFill="1" applyAlignment="1">
      <alignment wrapText="1"/>
    </xf>
    <xf numFmtId="0" fontId="0" fillId="8" borderId="4" xfId="0" applyFill="1" applyBorder="1"/>
    <xf numFmtId="0" fontId="7" fillId="2" borderId="4" xfId="0" applyFont="1" applyFill="1" applyBorder="1" applyAlignment="1">
      <alignment horizontal="center" vertical="center" wrapText="1"/>
    </xf>
    <xf numFmtId="164" fontId="7" fillId="2" borderId="4" xfId="1" applyFont="1" applyFill="1" applyBorder="1"/>
    <xf numFmtId="164" fontId="7" fillId="2" borderId="4" xfId="0" applyNumberFormat="1" applyFont="1" applyFill="1" applyBorder="1"/>
    <xf numFmtId="0" fontId="6" fillId="7" borderId="4" xfId="0" applyFont="1" applyFill="1" applyBorder="1" applyAlignment="1">
      <alignment horizontal="center"/>
    </xf>
    <xf numFmtId="164" fontId="6" fillId="7" borderId="4" xfId="0" applyNumberFormat="1" applyFont="1" applyFill="1" applyBorder="1"/>
    <xf numFmtId="0" fontId="7" fillId="11" borderId="4" xfId="0" applyFont="1" applyFill="1" applyBorder="1" applyAlignment="1">
      <alignment horizontal="center" wrapText="1"/>
    </xf>
    <xf numFmtId="164" fontId="7" fillId="11" borderId="4" xfId="0" applyNumberFormat="1" applyFont="1" applyFill="1" applyBorder="1"/>
    <xf numFmtId="0" fontId="7" fillId="5" borderId="4" xfId="0" applyFont="1" applyFill="1" applyBorder="1" applyAlignment="1">
      <alignment horizontal="center" vertical="center" wrapText="1"/>
    </xf>
    <xf numFmtId="164" fontId="7" fillId="5" borderId="4" xfId="1" applyFont="1" applyFill="1" applyBorder="1"/>
    <xf numFmtId="0" fontId="0" fillId="3" borderId="4" xfId="0" applyFill="1" applyBorder="1" applyAlignment="1">
      <alignment horizontal="center" wrapText="1"/>
    </xf>
    <xf numFmtId="164" fontId="0" fillId="3" borderId="4" xfId="1" applyFont="1" applyFill="1" applyBorder="1"/>
    <xf numFmtId="0" fontId="0" fillId="8" borderId="4" xfId="0" applyFill="1" applyBorder="1" applyAlignment="1">
      <alignment horizontal="center"/>
    </xf>
    <xf numFmtId="2" fontId="0" fillId="8" borderId="4" xfId="0" applyNumberFormat="1" applyFill="1" applyBorder="1" applyAlignment="1">
      <alignment horizontal="center"/>
    </xf>
    <xf numFmtId="2" fontId="0" fillId="8" borderId="4" xfId="0" applyNumberFormat="1" applyFill="1" applyBorder="1"/>
    <xf numFmtId="2" fontId="4" fillId="8" borderId="0" xfId="0" applyNumberFormat="1" applyFont="1" applyFill="1"/>
    <xf numFmtId="0" fontId="5" fillId="10" borderId="17" xfId="0" applyFont="1" applyFill="1" applyBorder="1" applyAlignment="1">
      <alignment horizontal="center"/>
    </xf>
    <xf numFmtId="0" fontId="5" fillId="15" borderId="12" xfId="0" applyFont="1" applyFill="1" applyBorder="1"/>
    <xf numFmtId="0" fontId="6" fillId="15" borderId="13" xfId="0" applyFont="1" applyFill="1" applyBorder="1"/>
    <xf numFmtId="0" fontId="6" fillId="15" borderId="14" xfId="0" applyFont="1" applyFill="1" applyBorder="1"/>
    <xf numFmtId="0" fontId="5" fillId="15" borderId="4" xfId="0" applyFont="1" applyFill="1" applyBorder="1" applyAlignment="1">
      <alignment horizontal="right"/>
    </xf>
    <xf numFmtId="43" fontId="5" fillId="15" borderId="4" xfId="0" applyNumberFormat="1" applyFont="1" applyFill="1" applyBorder="1"/>
    <xf numFmtId="0" fontId="0" fillId="10" borderId="13" xfId="0" applyFill="1" applyBorder="1" applyAlignment="1">
      <alignment horizontal="center"/>
    </xf>
    <xf numFmtId="2" fontId="0" fillId="10" borderId="13" xfId="0" applyNumberFormat="1" applyFill="1" applyBorder="1"/>
    <xf numFmtId="2" fontId="0" fillId="10" borderId="14" xfId="0" applyNumberFormat="1" applyFill="1" applyBorder="1"/>
    <xf numFmtId="0" fontId="5" fillId="10" borderId="12" xfId="0" applyFont="1" applyFill="1" applyBorder="1"/>
    <xf numFmtId="0" fontId="6" fillId="10" borderId="13" xfId="0" applyFont="1" applyFill="1" applyBorder="1"/>
    <xf numFmtId="0" fontId="6" fillId="10" borderId="13" xfId="0" applyFont="1" applyFill="1" applyBorder="1" applyAlignment="1">
      <alignment horizontal="center"/>
    </xf>
    <xf numFmtId="2" fontId="6" fillId="10" borderId="13" xfId="0" applyNumberFormat="1" applyFont="1" applyFill="1" applyBorder="1"/>
    <xf numFmtId="2" fontId="6" fillId="10" borderId="14" xfId="0" applyNumberFormat="1" applyFont="1" applyFill="1" applyBorder="1"/>
    <xf numFmtId="0" fontId="5" fillId="10" borderId="18" xfId="0" applyFont="1" applyFill="1" applyBorder="1"/>
    <xf numFmtId="0" fontId="6" fillId="10" borderId="0" xfId="0" applyFont="1" applyFill="1"/>
    <xf numFmtId="0" fontId="6" fillId="10" borderId="0" xfId="0" applyFont="1" applyFill="1" applyAlignment="1">
      <alignment horizontal="center"/>
    </xf>
    <xf numFmtId="2" fontId="6" fillId="10" borderId="0" xfId="0" applyNumberFormat="1" applyFont="1" applyFill="1"/>
    <xf numFmtId="2" fontId="6" fillId="10" borderId="19" xfId="0" applyNumberFormat="1" applyFont="1" applyFill="1" applyBorder="1"/>
    <xf numFmtId="0" fontId="6" fillId="10" borderId="4" xfId="0" applyFont="1" applyFill="1" applyBorder="1" applyAlignment="1">
      <alignment horizontal="center"/>
    </xf>
    <xf numFmtId="0" fontId="10" fillId="8" borderId="0" xfId="0" quotePrefix="1" applyFont="1" applyFill="1"/>
    <xf numFmtId="0" fontId="0" fillId="8" borderId="0" xfId="0" applyFill="1" applyAlignment="1">
      <alignment horizontal="left"/>
    </xf>
    <xf numFmtId="164" fontId="0" fillId="3" borderId="0" xfId="1" applyFont="1" applyFill="1" applyBorder="1"/>
    <xf numFmtId="164" fontId="0" fillId="3" borderId="25" xfId="1" applyFont="1" applyFill="1" applyBorder="1"/>
    <xf numFmtId="0" fontId="0" fillId="8" borderId="0" xfId="0" quotePrefix="1" applyFill="1" applyAlignment="1">
      <alignment horizontal="left"/>
    </xf>
    <xf numFmtId="2" fontId="0" fillId="8" borderId="12" xfId="0" applyNumberFormat="1" applyFill="1" applyBorder="1" applyAlignment="1">
      <alignment horizontal="center"/>
    </xf>
    <xf numFmtId="0" fontId="0" fillId="8" borderId="14" xfId="0" applyFill="1" applyBorder="1" applyAlignment="1">
      <alignment horizontal="center"/>
    </xf>
    <xf numFmtId="0" fontId="0" fillId="8" borderId="14" xfId="0" applyFill="1" applyBorder="1" applyAlignment="1">
      <alignment horizontal="right"/>
    </xf>
    <xf numFmtId="2" fontId="0" fillId="8" borderId="13" xfId="0" applyNumberFormat="1" applyFill="1" applyBorder="1"/>
    <xf numFmtId="0" fontId="0" fillId="13" borderId="4" xfId="0" applyFill="1" applyBorder="1"/>
    <xf numFmtId="164" fontId="4" fillId="8" borderId="7" xfId="1" applyFont="1" applyFill="1" applyBorder="1" applyAlignment="1">
      <alignment horizontal="center"/>
    </xf>
    <xf numFmtId="0" fontId="0" fillId="19" borderId="4" xfId="0" applyFill="1" applyBorder="1" applyAlignment="1">
      <alignment horizontal="center" vertical="center" wrapText="1"/>
    </xf>
    <xf numFmtId="0" fontId="0" fillId="19" borderId="4" xfId="0" applyFill="1" applyBorder="1" applyAlignment="1">
      <alignment horizontal="center"/>
    </xf>
    <xf numFmtId="0" fontId="0" fillId="8" borderId="29" xfId="0" applyFill="1" applyBorder="1" applyAlignment="1">
      <alignment horizontal="center"/>
    </xf>
    <xf numFmtId="2" fontId="0" fillId="8" borderId="29" xfId="0" applyNumberFormat="1" applyFill="1" applyBorder="1"/>
    <xf numFmtId="9" fontId="0" fillId="18" borderId="24" xfId="2" applyFont="1" applyFill="1" applyBorder="1"/>
    <xf numFmtId="9" fontId="0" fillId="18" borderId="3" xfId="2" applyFont="1" applyFill="1" applyBorder="1"/>
    <xf numFmtId="164" fontId="4" fillId="18" borderId="0" xfId="1" applyFont="1" applyFill="1" applyBorder="1"/>
    <xf numFmtId="164" fontId="4" fillId="18" borderId="7" xfId="1" applyFont="1" applyFill="1" applyBorder="1"/>
    <xf numFmtId="0" fontId="0" fillId="4" borderId="2" xfId="0" applyFill="1" applyBorder="1"/>
    <xf numFmtId="164" fontId="0" fillId="4" borderId="3" xfId="1" applyFont="1" applyFill="1" applyBorder="1"/>
    <xf numFmtId="0" fontId="4" fillId="18" borderId="26" xfId="0" applyFont="1" applyFill="1" applyBorder="1" applyAlignment="1">
      <alignment horizontal="center"/>
    </xf>
    <xf numFmtId="0" fontId="6" fillId="10" borderId="4" xfId="0" applyFont="1" applyFill="1" applyBorder="1" applyAlignment="1">
      <alignment horizontal="right"/>
    </xf>
    <xf numFmtId="2" fontId="0" fillId="8" borderId="4" xfId="0" applyNumberFormat="1" applyFill="1" applyBorder="1" applyAlignment="1">
      <alignment horizontal="right"/>
    </xf>
    <xf numFmtId="2" fontId="0" fillId="8" borderId="12" xfId="0" applyNumberFormat="1" applyFill="1" applyBorder="1" applyAlignment="1">
      <alignment horizontal="right"/>
    </xf>
    <xf numFmtId="0" fontId="0" fillId="8" borderId="4" xfId="0" applyFill="1" applyBorder="1" applyAlignment="1">
      <alignment horizontal="right"/>
    </xf>
    <xf numFmtId="43" fontId="5" fillId="15" borderId="4" xfId="0" applyNumberFormat="1" applyFont="1" applyFill="1" applyBorder="1" applyAlignment="1">
      <alignment horizontal="right"/>
    </xf>
    <xf numFmtId="2" fontId="0" fillId="0" borderId="0" xfId="0" applyNumberFormat="1"/>
    <xf numFmtId="0" fontId="0" fillId="2" borderId="30" xfId="0" applyFill="1" applyBorder="1" applyAlignment="1">
      <alignment horizontal="center" wrapText="1"/>
    </xf>
    <xf numFmtId="9" fontId="0" fillId="18" borderId="24" xfId="0" applyNumberFormat="1" applyFill="1" applyBorder="1"/>
    <xf numFmtId="9" fontId="0" fillId="18" borderId="3" xfId="0" applyNumberFormat="1" applyFill="1" applyBorder="1"/>
    <xf numFmtId="0" fontId="0" fillId="2" borderId="5" xfId="0" applyFill="1" applyBorder="1" applyAlignment="1">
      <alignment horizontal="center" wrapText="1"/>
    </xf>
    <xf numFmtId="164" fontId="0" fillId="2" borderId="1" xfId="1" applyFont="1" applyFill="1" applyBorder="1"/>
    <xf numFmtId="0" fontId="0" fillId="14" borderId="20" xfId="0" applyFill="1" applyBorder="1" applyAlignment="1">
      <alignment horizontal="center"/>
    </xf>
    <xf numFmtId="0" fontId="0" fillId="14" borderId="15" xfId="0" applyFill="1" applyBorder="1" applyAlignment="1">
      <alignment horizontal="center"/>
    </xf>
    <xf numFmtId="9" fontId="16" fillId="16" borderId="4" xfId="2" applyFont="1" applyFill="1" applyBorder="1" applyAlignment="1">
      <alignment horizontal="center"/>
    </xf>
    <xf numFmtId="164" fontId="6" fillId="9" borderId="4" xfId="0" applyNumberFormat="1" applyFont="1" applyFill="1" applyBorder="1"/>
    <xf numFmtId="164" fontId="7" fillId="23" borderId="4" xfId="0" applyNumberFormat="1" applyFont="1" applyFill="1" applyBorder="1"/>
    <xf numFmtId="164" fontId="6" fillId="21" borderId="4" xfId="0" applyNumberFormat="1" applyFont="1" applyFill="1" applyBorder="1"/>
    <xf numFmtId="164" fontId="6" fillId="20" borderId="4" xfId="0" applyNumberFormat="1" applyFont="1" applyFill="1" applyBorder="1"/>
    <xf numFmtId="0" fontId="4" fillId="14" borderId="22" xfId="0" applyFont="1" applyFill="1" applyBorder="1"/>
    <xf numFmtId="0" fontId="4" fillId="14" borderId="23" xfId="0" applyFont="1" applyFill="1" applyBorder="1"/>
    <xf numFmtId="0" fontId="9" fillId="8" borderId="0" xfId="0" applyFont="1" applyFill="1" applyAlignment="1">
      <alignment horizontal="left"/>
    </xf>
    <xf numFmtId="164" fontId="0" fillId="3" borderId="7" xfId="1" applyFont="1" applyFill="1" applyBorder="1"/>
    <xf numFmtId="164" fontId="0" fillId="3" borderId="11" xfId="1" applyFont="1" applyFill="1" applyBorder="1"/>
    <xf numFmtId="0" fontId="4" fillId="14" borderId="21" xfId="0" applyFont="1" applyFill="1" applyBorder="1"/>
    <xf numFmtId="0" fontId="0" fillId="14" borderId="18" xfId="0" applyFill="1" applyBorder="1" applyAlignment="1">
      <alignment wrapText="1"/>
    </xf>
    <xf numFmtId="0" fontId="0" fillId="14" borderId="18" xfId="0" applyFill="1" applyBorder="1"/>
    <xf numFmtId="165" fontId="0" fillId="19" borderId="4" xfId="0" applyNumberFormat="1" applyFill="1" applyBorder="1" applyAlignment="1">
      <alignment horizontal="center" vertical="center" wrapText="1"/>
    </xf>
    <xf numFmtId="165" fontId="0" fillId="19" borderId="4" xfId="0" applyNumberFormat="1" applyFill="1" applyBorder="1" applyAlignment="1">
      <alignment horizontal="center"/>
    </xf>
    <xf numFmtId="0" fontId="0" fillId="8" borderId="0" xfId="0" quotePrefix="1" applyFill="1"/>
    <xf numFmtId="0" fontId="0" fillId="2" borderId="2" xfId="0" applyFill="1" applyBorder="1"/>
    <xf numFmtId="0" fontId="0" fillId="2" borderId="31" xfId="0" applyFill="1" applyBorder="1" applyAlignment="1">
      <alignment horizontal="center" wrapText="1"/>
    </xf>
    <xf numFmtId="164" fontId="0" fillId="2" borderId="12" xfId="1" applyFont="1" applyFill="1" applyBorder="1"/>
    <xf numFmtId="2" fontId="0" fillId="4" borderId="2" xfId="0" applyNumberFormat="1" applyFill="1" applyBorder="1"/>
    <xf numFmtId="2" fontId="0" fillId="4" borderId="6" xfId="0" applyNumberFormat="1" applyFill="1" applyBorder="1"/>
    <xf numFmtId="2" fontId="0" fillId="4" borderId="10" xfId="0" applyNumberFormat="1" applyFill="1" applyBorder="1"/>
    <xf numFmtId="0" fontId="0" fillId="3" borderId="2" xfId="0" applyFill="1" applyBorder="1"/>
    <xf numFmtId="164" fontId="0" fillId="3" borderId="3" xfId="1" applyFont="1" applyFill="1" applyBorder="1"/>
    <xf numFmtId="44" fontId="4" fillId="8" borderId="0" xfId="0" applyNumberFormat="1" applyFont="1" applyFill="1"/>
    <xf numFmtId="0" fontId="0" fillId="2" borderId="1" xfId="0" applyFill="1" applyBorder="1" applyAlignment="1">
      <alignment horizontal="center" wrapText="1"/>
    </xf>
    <xf numFmtId="0" fontId="5" fillId="20" borderId="4" xfId="0" applyFont="1" applyFill="1" applyBorder="1" applyAlignment="1">
      <alignment horizontal="right" wrapText="1"/>
    </xf>
    <xf numFmtId="0" fontId="5" fillId="6" borderId="4" xfId="0" applyFont="1" applyFill="1" applyBorder="1" applyAlignment="1">
      <alignment horizontal="right" wrapText="1"/>
    </xf>
    <xf numFmtId="164" fontId="6" fillId="6" borderId="4" xfId="0" applyNumberFormat="1" applyFont="1" applyFill="1" applyBorder="1"/>
    <xf numFmtId="0" fontId="6" fillId="13" borderId="12" xfId="0" applyFont="1" applyFill="1" applyBorder="1" applyAlignment="1">
      <alignment horizontal="center" wrapText="1"/>
    </xf>
    <xf numFmtId="164" fontId="6" fillId="9" borderId="17" xfId="0" applyNumberFormat="1" applyFont="1" applyFill="1" applyBorder="1"/>
    <xf numFmtId="164" fontId="7" fillId="23" borderId="17" xfId="0" applyNumberFormat="1" applyFont="1" applyFill="1" applyBorder="1"/>
    <xf numFmtId="164" fontId="6" fillId="21" borderId="17" xfId="0" applyNumberFormat="1" applyFont="1" applyFill="1" applyBorder="1"/>
    <xf numFmtId="164" fontId="6" fillId="20" borderId="17" xfId="0" applyNumberFormat="1" applyFont="1" applyFill="1" applyBorder="1"/>
    <xf numFmtId="164" fontId="6" fillId="6" borderId="17" xfId="0" applyNumberFormat="1" applyFont="1" applyFill="1" applyBorder="1"/>
    <xf numFmtId="0" fontId="5" fillId="9" borderId="4" xfId="0" applyFont="1" applyFill="1" applyBorder="1" applyAlignment="1">
      <alignment horizontal="right" wrapText="1"/>
    </xf>
    <xf numFmtId="0" fontId="15" fillId="23" borderId="4" xfId="0" applyFont="1" applyFill="1" applyBorder="1" applyAlignment="1">
      <alignment horizontal="right" wrapText="1"/>
    </xf>
    <xf numFmtId="0" fontId="5" fillId="21" borderId="4" xfId="0" applyFont="1" applyFill="1" applyBorder="1" applyAlignment="1">
      <alignment horizontal="right" wrapText="1"/>
    </xf>
    <xf numFmtId="0" fontId="4" fillId="4" borderId="27" xfId="0" applyFont="1" applyFill="1" applyBorder="1" applyAlignment="1">
      <alignment horizontal="center"/>
    </xf>
    <xf numFmtId="0" fontId="0" fillId="8" borderId="18" xfId="0" applyFill="1" applyBorder="1" applyAlignment="1">
      <alignment horizontal="center"/>
    </xf>
    <xf numFmtId="2" fontId="2" fillId="16" borderId="4" xfId="0" applyNumberFormat="1" applyFont="1" applyFill="1" applyBorder="1" applyAlignment="1">
      <alignment horizontal="center"/>
    </xf>
    <xf numFmtId="0" fontId="11" fillId="8" borderId="18" xfId="0" applyFont="1" applyFill="1" applyBorder="1" applyAlignment="1">
      <alignment horizontal="center"/>
    </xf>
    <xf numFmtId="0" fontId="11" fillId="8" borderId="0" xfId="0" applyFont="1" applyFill="1" applyAlignment="1">
      <alignment horizontal="center"/>
    </xf>
    <xf numFmtId="164" fontId="6" fillId="20" borderId="16" xfId="0" applyNumberFormat="1" applyFont="1" applyFill="1" applyBorder="1"/>
    <xf numFmtId="164" fontId="6" fillId="20" borderId="12" xfId="0" applyNumberFormat="1" applyFont="1" applyFill="1" applyBorder="1"/>
    <xf numFmtId="9" fontId="16" fillId="4" borderId="4" xfId="2" applyFont="1" applyFill="1" applyBorder="1" applyAlignment="1">
      <alignment horizontal="center"/>
    </xf>
    <xf numFmtId="0" fontId="0" fillId="8" borderId="4" xfId="0" applyFill="1" applyBorder="1" applyAlignment="1">
      <alignment vertical="center"/>
    </xf>
    <xf numFmtId="0" fontId="11" fillId="20" borderId="4" xfId="0" applyFont="1" applyFill="1" applyBorder="1" applyAlignment="1">
      <alignment horizontal="center" vertical="center"/>
    </xf>
    <xf numFmtId="0" fontId="11" fillId="13" borderId="4" xfId="0" applyFont="1" applyFill="1" applyBorder="1" applyAlignment="1">
      <alignment horizontal="center" vertical="center"/>
    </xf>
    <xf numFmtId="0" fontId="10" fillId="8" borderId="4" xfId="0" applyFont="1" applyFill="1" applyBorder="1" applyAlignment="1">
      <alignment horizontal="center" vertical="center"/>
    </xf>
    <xf numFmtId="164" fontId="5" fillId="13" borderId="39" xfId="0" applyNumberFormat="1" applyFont="1" applyFill="1" applyBorder="1"/>
    <xf numFmtId="164" fontId="5" fillId="13" borderId="40" xfId="0" applyNumberFormat="1" applyFont="1" applyFill="1" applyBorder="1"/>
    <xf numFmtId="164" fontId="5" fillId="13" borderId="41" xfId="0" applyNumberFormat="1" applyFont="1" applyFill="1" applyBorder="1"/>
    <xf numFmtId="164" fontId="5" fillId="13" borderId="43" xfId="0" applyNumberFormat="1" applyFont="1" applyFill="1" applyBorder="1"/>
    <xf numFmtId="0" fontId="15" fillId="8" borderId="44" xfId="0" applyFont="1" applyFill="1" applyBorder="1" applyAlignment="1">
      <alignment horizontal="left"/>
    </xf>
    <xf numFmtId="0" fontId="6" fillId="8" borderId="45" xfId="0" applyFont="1" applyFill="1" applyBorder="1" applyAlignment="1">
      <alignment horizontal="right"/>
    </xf>
    <xf numFmtId="2" fontId="6" fillId="8" borderId="45" xfId="0" applyNumberFormat="1" applyFont="1" applyFill="1" applyBorder="1" applyAlignment="1">
      <alignment horizontal="center"/>
    </xf>
    <xf numFmtId="0" fontId="5" fillId="9" borderId="32" xfId="0" applyFont="1" applyFill="1" applyBorder="1" applyAlignment="1">
      <alignment horizontal="center" vertical="center" wrapText="1"/>
    </xf>
    <xf numFmtId="0" fontId="15" fillId="23" borderId="32"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20" borderId="35" xfId="0" applyFont="1" applyFill="1" applyBorder="1" applyAlignment="1">
      <alignment horizontal="center" vertical="center" wrapText="1"/>
    </xf>
    <xf numFmtId="0" fontId="5" fillId="20"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10" fillId="2" borderId="4" xfId="0" applyFont="1" applyFill="1" applyBorder="1" applyAlignment="1">
      <alignment horizontal="center" vertical="center"/>
    </xf>
    <xf numFmtId="9" fontId="10" fillId="2" borderId="4" xfId="2" applyFont="1" applyFill="1" applyBorder="1" applyAlignment="1">
      <alignment horizontal="center" vertical="center"/>
    </xf>
    <xf numFmtId="0" fontId="0" fillId="8" borderId="20" xfId="0" applyFill="1" applyBorder="1"/>
    <xf numFmtId="166" fontId="10" fillId="2" borderId="4" xfId="1" applyNumberFormat="1" applyFont="1" applyFill="1" applyBorder="1" applyAlignment="1">
      <alignment horizontal="center" vertical="center"/>
    </xf>
    <xf numFmtId="167" fontId="13" fillId="17" borderId="4" xfId="0" applyNumberFormat="1" applyFont="1" applyFill="1" applyBorder="1" applyAlignment="1">
      <alignment horizontal="center"/>
    </xf>
    <xf numFmtId="0" fontId="10" fillId="2" borderId="12" xfId="0" applyFont="1" applyFill="1" applyBorder="1" applyAlignment="1">
      <alignment horizontal="center" vertical="center"/>
    </xf>
    <xf numFmtId="0" fontId="2" fillId="16" borderId="4" xfId="0" applyFont="1" applyFill="1" applyBorder="1" applyAlignment="1">
      <alignment horizontal="center"/>
    </xf>
    <xf numFmtId="2" fontId="2" fillId="16" borderId="12" xfId="0" applyNumberFormat="1" applyFont="1" applyFill="1" applyBorder="1" applyAlignment="1">
      <alignment horizontal="center"/>
    </xf>
    <xf numFmtId="2" fontId="2" fillId="16" borderId="12" xfId="0" applyNumberFormat="1" applyFont="1" applyFill="1" applyBorder="1" applyAlignment="1">
      <alignment horizontal="center" vertical="center"/>
    </xf>
    <xf numFmtId="2" fontId="2" fillId="16" borderId="4" xfId="0" applyNumberFormat="1" applyFont="1" applyFill="1" applyBorder="1" applyAlignment="1">
      <alignment horizontal="center" vertical="center"/>
    </xf>
    <xf numFmtId="9" fontId="2" fillId="16" borderId="4" xfId="2" applyFont="1" applyFill="1" applyBorder="1" applyAlignment="1">
      <alignment horizontal="center"/>
    </xf>
    <xf numFmtId="9" fontId="2" fillId="16" borderId="12" xfId="2" applyFont="1" applyFill="1" applyBorder="1" applyAlignment="1">
      <alignment horizontal="center"/>
    </xf>
    <xf numFmtId="166" fontId="2" fillId="4" borderId="4" xfId="0" applyNumberFormat="1" applyFont="1" applyFill="1" applyBorder="1" applyAlignment="1">
      <alignment horizontal="center"/>
    </xf>
    <xf numFmtId="166" fontId="2" fillId="4" borderId="12" xfId="0" applyNumberFormat="1" applyFont="1" applyFill="1" applyBorder="1" applyAlignment="1">
      <alignment horizontal="center"/>
    </xf>
    <xf numFmtId="2" fontId="2" fillId="4" borderId="4" xfId="0" applyNumberFormat="1" applyFont="1" applyFill="1" applyBorder="1" applyAlignment="1">
      <alignment horizontal="center"/>
    </xf>
    <xf numFmtId="2" fontId="2" fillId="4" borderId="12" xfId="0" applyNumberFormat="1" applyFont="1" applyFill="1" applyBorder="1" applyAlignment="1">
      <alignment horizontal="center"/>
    </xf>
    <xf numFmtId="0" fontId="13" fillId="13" borderId="4"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3" xfId="0" applyFont="1" applyFill="1" applyBorder="1" applyAlignment="1">
      <alignment horizontal="center" vertical="center" wrapText="1"/>
    </xf>
    <xf numFmtId="0" fontId="20" fillId="20" borderId="23" xfId="0" applyFont="1" applyFill="1" applyBorder="1" applyAlignment="1">
      <alignment horizontal="center" vertical="center" wrapText="1"/>
    </xf>
    <xf numFmtId="0" fontId="20" fillId="20" borderId="22" xfId="0" applyFont="1" applyFill="1" applyBorder="1" applyAlignment="1">
      <alignment horizontal="center" vertical="center" wrapText="1"/>
    </xf>
    <xf numFmtId="0" fontId="20" fillId="13" borderId="23" xfId="0" applyFont="1" applyFill="1" applyBorder="1" applyAlignment="1">
      <alignment horizontal="center" vertical="center" wrapText="1"/>
    </xf>
    <xf numFmtId="16" fontId="0" fillId="0" borderId="0" xfId="0" applyNumberFormat="1" applyAlignment="1">
      <alignment horizontal="left"/>
    </xf>
    <xf numFmtId="0" fontId="1" fillId="0" borderId="0" xfId="0" applyFont="1" applyAlignment="1">
      <alignment horizontal="left" vertical="center" wrapText="1" indent="1"/>
    </xf>
    <xf numFmtId="16" fontId="4" fillId="0" borderId="0" xfId="0" applyNumberFormat="1" applyFont="1" applyAlignment="1">
      <alignment horizontal="left"/>
    </xf>
    <xf numFmtId="0" fontId="22" fillId="0" borderId="0" xfId="0" applyFont="1" applyAlignment="1">
      <alignment horizontal="left" vertical="center" wrapText="1"/>
    </xf>
    <xf numFmtId="2" fontId="6" fillId="8" borderId="0" xfId="0" applyNumberFormat="1" applyFont="1" applyFill="1" applyAlignment="1">
      <alignment horizontal="center"/>
    </xf>
    <xf numFmtId="2" fontId="6" fillId="8" borderId="46" xfId="0" applyNumberFormat="1" applyFont="1" applyFill="1" applyBorder="1" applyAlignment="1">
      <alignment horizontal="center"/>
    </xf>
    <xf numFmtId="166" fontId="0" fillId="8" borderId="0" xfId="1" applyNumberFormat="1" applyFont="1" applyFill="1"/>
    <xf numFmtId="166" fontId="10" fillId="4" borderId="4" xfId="0" applyNumberFormat="1" applyFont="1" applyFill="1" applyBorder="1" applyAlignment="1">
      <alignment horizontal="center" vertical="center"/>
    </xf>
    <xf numFmtId="0" fontId="11" fillId="6" borderId="4" xfId="0" applyFont="1" applyFill="1" applyBorder="1" applyAlignment="1">
      <alignment horizontal="center" vertical="center"/>
    </xf>
    <xf numFmtId="0" fontId="20" fillId="13" borderId="38" xfId="0" applyFont="1" applyFill="1" applyBorder="1" applyAlignment="1">
      <alignment horizontal="right"/>
    </xf>
    <xf numFmtId="0" fontId="20" fillId="13" borderId="33" xfId="0" applyFont="1" applyFill="1" applyBorder="1" applyAlignment="1">
      <alignment horizontal="right" wrapText="1"/>
    </xf>
    <xf numFmtId="0" fontId="10" fillId="8" borderId="0" xfId="0" applyFont="1" applyFill="1" applyAlignment="1">
      <alignment horizontal="left"/>
    </xf>
    <xf numFmtId="0" fontId="10" fillId="8" borderId="0" xfId="0" applyFont="1" applyFill="1" applyAlignment="1">
      <alignment horizontal="right" vertical="center"/>
    </xf>
    <xf numFmtId="0" fontId="20" fillId="13" borderId="38" xfId="0" applyFont="1" applyFill="1" applyBorder="1"/>
    <xf numFmtId="0" fontId="20" fillId="13" borderId="33" xfId="0" applyFont="1" applyFill="1" applyBorder="1" applyAlignment="1">
      <alignment wrapText="1"/>
    </xf>
    <xf numFmtId="0" fontId="11" fillId="6" borderId="4" xfId="0" applyFont="1" applyFill="1" applyBorder="1" applyAlignment="1">
      <alignment horizontal="center" vertical="center"/>
    </xf>
    <xf numFmtId="166" fontId="2" fillId="4" borderId="12" xfId="0" applyNumberFormat="1" applyFont="1" applyFill="1" applyBorder="1" applyAlignment="1">
      <alignment horizontal="center"/>
    </xf>
    <xf numFmtId="166" fontId="2" fillId="4" borderId="14" xfId="0" applyNumberFormat="1" applyFont="1" applyFill="1" applyBorder="1" applyAlignment="1">
      <alignment horizontal="center"/>
    </xf>
    <xf numFmtId="166" fontId="10" fillId="5" borderId="21" xfId="0" applyNumberFormat="1" applyFont="1" applyFill="1" applyBorder="1" applyAlignment="1">
      <alignment horizontal="center" vertical="center"/>
    </xf>
    <xf numFmtId="166" fontId="10" fillId="5" borderId="23" xfId="0" applyNumberFormat="1" applyFont="1" applyFill="1" applyBorder="1" applyAlignment="1">
      <alignment horizontal="center" vertical="center"/>
    </xf>
    <xf numFmtId="166" fontId="10" fillId="5" borderId="18" xfId="0" applyNumberFormat="1" applyFont="1" applyFill="1" applyBorder="1" applyAlignment="1">
      <alignment horizontal="center" vertical="center"/>
    </xf>
    <xf numFmtId="166" fontId="10" fillId="5" borderId="19" xfId="0" applyNumberFormat="1" applyFont="1" applyFill="1" applyBorder="1" applyAlignment="1">
      <alignment horizontal="center" vertical="center"/>
    </xf>
    <xf numFmtId="166" fontId="10" fillId="5" borderId="16" xfId="0" applyNumberFormat="1" applyFont="1" applyFill="1" applyBorder="1" applyAlignment="1">
      <alignment horizontal="center" vertical="center"/>
    </xf>
    <xf numFmtId="166" fontId="10" fillId="5" borderId="15" xfId="0" applyNumberFormat="1" applyFont="1" applyFill="1" applyBorder="1" applyAlignment="1">
      <alignment horizontal="center" vertical="center"/>
    </xf>
    <xf numFmtId="0" fontId="23" fillId="5" borderId="12"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14" xfId="0" applyFont="1" applyFill="1" applyBorder="1" applyAlignment="1">
      <alignment horizontal="center" vertical="center"/>
    </xf>
    <xf numFmtId="166" fontId="10" fillId="5" borderId="29" xfId="0" applyNumberFormat="1" applyFont="1" applyFill="1" applyBorder="1" applyAlignment="1">
      <alignment horizontal="center" vertical="center"/>
    </xf>
    <xf numFmtId="166" fontId="10" fillId="5" borderId="47" xfId="0" applyNumberFormat="1" applyFont="1" applyFill="1" applyBorder="1" applyAlignment="1">
      <alignment horizontal="center" vertical="center"/>
    </xf>
    <xf numFmtId="166" fontId="10" fillId="5" borderId="17" xfId="0" applyNumberFormat="1" applyFont="1" applyFill="1" applyBorder="1" applyAlignment="1">
      <alignment horizontal="center"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4" fillId="4" borderId="12" xfId="0" applyFont="1" applyFill="1" applyBorder="1" applyAlignment="1">
      <alignment horizontal="center"/>
    </xf>
    <xf numFmtId="0" fontId="24" fillId="4" borderId="13" xfId="0" applyFont="1" applyFill="1" applyBorder="1" applyAlignment="1">
      <alignment horizontal="center"/>
    </xf>
    <xf numFmtId="0" fontId="24" fillId="4" borderId="14" xfId="0" applyFont="1" applyFill="1" applyBorder="1" applyAlignment="1">
      <alignment horizontal="center"/>
    </xf>
    <xf numFmtId="0" fontId="11" fillId="13" borderId="13" xfId="0" applyFont="1" applyFill="1" applyBorder="1" applyAlignment="1">
      <alignment horizontal="center" vertical="center"/>
    </xf>
    <xf numFmtId="0" fontId="11" fillId="13" borderId="14" xfId="0" applyFont="1" applyFill="1" applyBorder="1" applyAlignment="1">
      <alignment horizontal="center" vertical="center"/>
    </xf>
    <xf numFmtId="0" fontId="4" fillId="8" borderId="20" xfId="0" applyFont="1" applyFill="1" applyBorder="1" applyAlignment="1">
      <alignment horizontal="left" vertical="center"/>
    </xf>
    <xf numFmtId="0" fontId="5" fillId="22" borderId="4" xfId="0" applyFont="1" applyFill="1" applyBorder="1" applyAlignment="1">
      <alignment horizontal="right" wrapText="1"/>
    </xf>
    <xf numFmtId="0" fontId="0" fillId="14" borderId="16" xfId="0" applyFill="1" applyBorder="1" applyAlignment="1">
      <alignment horizontal="center"/>
    </xf>
    <xf numFmtId="0" fontId="0" fillId="14" borderId="20" xfId="0" applyFill="1" applyBorder="1" applyAlignment="1">
      <alignment horizontal="center"/>
    </xf>
    <xf numFmtId="164" fontId="6" fillId="22" borderId="12" xfId="0" applyNumberFormat="1" applyFont="1" applyFill="1" applyBorder="1" applyAlignment="1">
      <alignment horizontal="center"/>
    </xf>
    <xf numFmtId="164" fontId="6" fillId="22" borderId="13" xfId="0" applyNumberFormat="1" applyFont="1" applyFill="1" applyBorder="1" applyAlignment="1">
      <alignment horizontal="center"/>
    </xf>
    <xf numFmtId="164" fontId="6" fillId="22" borderId="16" xfId="0" applyNumberFormat="1" applyFont="1" applyFill="1" applyBorder="1" applyAlignment="1">
      <alignment horizontal="center"/>
    </xf>
    <xf numFmtId="164" fontId="6" fillId="22" borderId="20" xfId="0" applyNumberFormat="1" applyFont="1" applyFill="1" applyBorder="1" applyAlignment="1">
      <alignment horizontal="center"/>
    </xf>
    <xf numFmtId="0" fontId="0" fillId="8" borderId="0" xfId="0" applyFill="1" applyAlignment="1">
      <alignment horizontal="left"/>
    </xf>
    <xf numFmtId="0" fontId="2" fillId="16" borderId="12" xfId="0" applyFont="1" applyFill="1" applyBorder="1" applyAlignment="1">
      <alignment horizontal="right"/>
    </xf>
    <xf numFmtId="0" fontId="2" fillId="16" borderId="14" xfId="0" applyFont="1" applyFill="1" applyBorder="1" applyAlignment="1">
      <alignment horizontal="right"/>
    </xf>
    <xf numFmtId="0" fontId="0" fillId="8" borderId="0" xfId="0" applyFill="1" applyAlignment="1">
      <alignment horizontal="center" vertical="center"/>
    </xf>
    <xf numFmtId="0" fontId="0" fillId="8" borderId="0" xfId="0" quotePrefix="1" applyFill="1" applyAlignment="1">
      <alignment horizontal="left"/>
    </xf>
    <xf numFmtId="0" fontId="0" fillId="8" borderId="0" xfId="0" quotePrefix="1" applyFill="1" applyAlignment="1">
      <alignment horizontal="left" wrapText="1"/>
    </xf>
    <xf numFmtId="0" fontId="0" fillId="8" borderId="0" xfId="0" applyFill="1" applyAlignment="1">
      <alignment horizontal="left" wrapText="1"/>
    </xf>
    <xf numFmtId="0" fontId="12" fillId="14" borderId="18" xfId="0" quotePrefix="1" applyFont="1" applyFill="1" applyBorder="1" applyAlignment="1">
      <alignment horizontal="left"/>
    </xf>
    <xf numFmtId="0" fontId="12" fillId="14" borderId="0" xfId="0" quotePrefix="1" applyFont="1" applyFill="1" applyAlignment="1">
      <alignment horizontal="left"/>
    </xf>
    <xf numFmtId="0" fontId="12" fillId="14" borderId="19" xfId="0" quotePrefix="1" applyFont="1" applyFill="1" applyBorder="1" applyAlignment="1">
      <alignment horizontal="left"/>
    </xf>
    <xf numFmtId="0" fontId="12" fillId="14" borderId="16" xfId="0" quotePrefix="1" applyFont="1" applyFill="1" applyBorder="1" applyAlignment="1">
      <alignment horizontal="left"/>
    </xf>
    <xf numFmtId="0" fontId="12" fillId="14" borderId="20" xfId="0" quotePrefix="1" applyFont="1" applyFill="1" applyBorder="1" applyAlignment="1">
      <alignment horizontal="left"/>
    </xf>
    <xf numFmtId="0" fontId="12" fillId="14" borderId="15" xfId="0" quotePrefix="1" applyFont="1" applyFill="1" applyBorder="1" applyAlignment="1">
      <alignment horizontal="left"/>
    </xf>
    <xf numFmtId="164" fontId="6" fillId="24" borderId="12" xfId="0" applyNumberFormat="1" applyFont="1" applyFill="1" applyBorder="1" applyAlignment="1">
      <alignment horizontal="center"/>
    </xf>
    <xf numFmtId="164" fontId="6" fillId="24" borderId="14" xfId="0" applyNumberFormat="1" applyFont="1" applyFill="1" applyBorder="1" applyAlignment="1">
      <alignment horizontal="center"/>
    </xf>
    <xf numFmtId="164" fontId="5" fillId="13" borderId="41" xfId="0" applyNumberFormat="1" applyFont="1" applyFill="1" applyBorder="1" applyAlignment="1">
      <alignment horizontal="center"/>
    </xf>
    <xf numFmtId="164" fontId="5" fillId="13" borderId="42" xfId="0" applyNumberFormat="1" applyFont="1" applyFill="1" applyBorder="1" applyAlignment="1">
      <alignment horizontal="center"/>
    </xf>
    <xf numFmtId="2" fontId="2" fillId="16" borderId="12" xfId="0" applyNumberFormat="1" applyFont="1" applyFill="1" applyBorder="1" applyAlignment="1">
      <alignment horizontal="center" vertical="center"/>
    </xf>
    <xf numFmtId="2" fontId="2" fillId="16" borderId="14" xfId="0" applyNumberFormat="1" applyFont="1" applyFill="1" applyBorder="1" applyAlignment="1">
      <alignment horizontal="center" vertical="center"/>
    </xf>
    <xf numFmtId="0" fontId="11" fillId="8" borderId="0" xfId="0" applyFont="1" applyFill="1" applyAlignment="1">
      <alignment horizontal="left" vertical="center" wrapText="1"/>
    </xf>
    <xf numFmtId="0" fontId="1" fillId="16" borderId="12" xfId="0" applyFont="1" applyFill="1" applyBorder="1" applyAlignment="1">
      <alignment horizontal="right"/>
    </xf>
    <xf numFmtId="0" fontId="5" fillId="22" borderId="36" xfId="0" applyFont="1" applyFill="1" applyBorder="1" applyAlignment="1">
      <alignment horizontal="center" vertical="center" wrapText="1"/>
    </xf>
    <xf numFmtId="0" fontId="5" fillId="22" borderId="34" xfId="0" applyFont="1" applyFill="1" applyBorder="1" applyAlignment="1">
      <alignment horizontal="center" vertical="center" wrapText="1"/>
    </xf>
    <xf numFmtId="2" fontId="2" fillId="16" borderId="12" xfId="0" applyNumberFormat="1" applyFont="1" applyFill="1" applyBorder="1" applyAlignment="1">
      <alignment horizontal="center"/>
    </xf>
    <xf numFmtId="2" fontId="2" fillId="16" borderId="14" xfId="0" applyNumberFormat="1" applyFont="1" applyFill="1" applyBorder="1" applyAlignment="1">
      <alignment horizontal="center"/>
    </xf>
    <xf numFmtId="9" fontId="2" fillId="16" borderId="12" xfId="2" applyFont="1" applyFill="1" applyBorder="1" applyAlignment="1">
      <alignment horizontal="center"/>
    </xf>
    <xf numFmtId="9" fontId="2" fillId="16" borderId="14" xfId="2" applyFont="1" applyFill="1" applyBorder="1" applyAlignment="1">
      <alignment horizontal="center"/>
    </xf>
    <xf numFmtId="9" fontId="16" fillId="4" borderId="12" xfId="2" applyFont="1" applyFill="1" applyBorder="1" applyAlignment="1">
      <alignment horizontal="center"/>
    </xf>
    <xf numFmtId="9" fontId="16" fillId="4" borderId="14" xfId="2" applyFont="1" applyFill="1" applyBorder="1" applyAlignment="1">
      <alignment horizontal="center"/>
    </xf>
    <xf numFmtId="9" fontId="16" fillId="16" borderId="12" xfId="2" applyFont="1" applyFill="1" applyBorder="1" applyAlignment="1">
      <alignment horizontal="center"/>
    </xf>
    <xf numFmtId="9" fontId="16" fillId="16" borderId="14" xfId="2" applyFont="1" applyFill="1" applyBorder="1" applyAlignment="1">
      <alignment horizontal="center"/>
    </xf>
    <xf numFmtId="0" fontId="25" fillId="8" borderId="0" xfId="0" applyFont="1" applyFill="1" applyAlignment="1">
      <alignment horizontal="left"/>
    </xf>
    <xf numFmtId="0" fontId="9" fillId="8" borderId="0" xfId="0" applyFont="1" applyFill="1" applyAlignment="1">
      <alignment horizontal="left"/>
    </xf>
    <xf numFmtId="0" fontId="13" fillId="13" borderId="21" xfId="0" applyFont="1" applyFill="1" applyBorder="1" applyAlignment="1">
      <alignment horizontal="center" wrapText="1"/>
    </xf>
    <xf numFmtId="0" fontId="13" fillId="13" borderId="23" xfId="0" applyFont="1" applyFill="1" applyBorder="1" applyAlignment="1">
      <alignment horizontal="center" wrapText="1"/>
    </xf>
    <xf numFmtId="0" fontId="13" fillId="13" borderId="16" xfId="0" applyFont="1" applyFill="1" applyBorder="1" applyAlignment="1">
      <alignment horizontal="center" wrapText="1"/>
    </xf>
    <xf numFmtId="0" fontId="13" fillId="13" borderId="15" xfId="0" applyFont="1" applyFill="1" applyBorder="1" applyAlignment="1">
      <alignment horizontal="center" wrapText="1"/>
    </xf>
    <xf numFmtId="0" fontId="12" fillId="14" borderId="21" xfId="0" quotePrefix="1" applyFont="1" applyFill="1" applyBorder="1" applyAlignment="1">
      <alignment horizontal="left"/>
    </xf>
    <xf numFmtId="0" fontId="12" fillId="14" borderId="22" xfId="0" quotePrefix="1" applyFont="1" applyFill="1" applyBorder="1" applyAlignment="1">
      <alignment horizontal="left"/>
    </xf>
    <xf numFmtId="0" fontId="12" fillId="14" borderId="23" xfId="0" quotePrefix="1" applyFont="1" applyFill="1" applyBorder="1" applyAlignment="1">
      <alignment horizontal="left"/>
    </xf>
    <xf numFmtId="0" fontId="13" fillId="13" borderId="12"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2" fillId="16" borderId="4" xfId="0" applyFont="1" applyFill="1" applyBorder="1" applyAlignment="1">
      <alignment horizontal="right"/>
    </xf>
    <xf numFmtId="0" fontId="13" fillId="13" borderId="13" xfId="0" applyFont="1" applyFill="1" applyBorder="1" applyAlignment="1">
      <alignment horizontal="center" vertical="center" wrapText="1"/>
    </xf>
    <xf numFmtId="0" fontId="16" fillId="16" borderId="12" xfId="0" applyFont="1" applyFill="1" applyBorder="1" applyAlignment="1">
      <alignment horizontal="right"/>
    </xf>
    <xf numFmtId="0" fontId="16" fillId="16" borderId="14" xfId="0" applyFont="1" applyFill="1" applyBorder="1" applyAlignment="1">
      <alignment horizontal="right"/>
    </xf>
    <xf numFmtId="0" fontId="11" fillId="13" borderId="12" xfId="0" applyFont="1" applyFill="1" applyBorder="1" applyAlignment="1">
      <alignment horizontal="center" vertical="center"/>
    </xf>
    <xf numFmtId="0" fontId="5" fillId="24" borderId="36" xfId="0" applyFont="1" applyFill="1" applyBorder="1" applyAlignment="1">
      <alignment horizontal="center" vertical="center" wrapText="1"/>
    </xf>
    <xf numFmtId="0" fontId="5" fillId="24" borderId="34" xfId="0" applyFont="1" applyFill="1" applyBorder="1" applyAlignment="1">
      <alignment horizontal="center" vertical="center" wrapText="1"/>
    </xf>
    <xf numFmtId="0" fontId="4" fillId="14" borderId="22" xfId="0" applyFont="1" applyFill="1" applyBorder="1" applyAlignment="1">
      <alignment horizontal="center"/>
    </xf>
    <xf numFmtId="0" fontId="5" fillId="24" borderId="4" xfId="0" applyFont="1" applyFill="1" applyBorder="1" applyAlignment="1">
      <alignment horizontal="center" wrapText="1"/>
    </xf>
    <xf numFmtId="0" fontId="0" fillId="18" borderId="27" xfId="0" applyFill="1" applyBorder="1" applyAlignment="1">
      <alignment horizontal="center"/>
    </xf>
    <xf numFmtId="0" fontId="0" fillId="18" borderId="28" xfId="0" applyFill="1" applyBorder="1" applyAlignment="1">
      <alignment horizontal="center"/>
    </xf>
    <xf numFmtId="164" fontId="5" fillId="9" borderId="17" xfId="1" applyFont="1" applyFill="1" applyBorder="1" applyAlignment="1">
      <alignment horizont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5" fillId="9" borderId="4" xfId="0" applyFont="1" applyFill="1" applyBorder="1" applyAlignment="1">
      <alignment horizontal="center"/>
    </xf>
    <xf numFmtId="0" fontId="5" fillId="6" borderId="4" xfId="0" applyFont="1" applyFill="1" applyBorder="1" applyAlignment="1">
      <alignment horizontal="center"/>
    </xf>
    <xf numFmtId="0" fontId="5" fillId="12" borderId="4" xfId="0" applyFont="1" applyFill="1" applyBorder="1" applyAlignment="1">
      <alignment horizontal="center"/>
    </xf>
    <xf numFmtId="0" fontId="5" fillId="10" borderId="4" xfId="0" applyFont="1" applyFill="1" applyBorder="1" applyAlignment="1">
      <alignment horizontal="center"/>
    </xf>
    <xf numFmtId="0" fontId="0" fillId="8" borderId="12" xfId="0" applyFill="1" applyBorder="1" applyAlignment="1">
      <alignment horizontal="left"/>
    </xf>
    <xf numFmtId="0" fontId="0" fillId="8" borderId="14" xfId="0" applyFill="1" applyBorder="1" applyAlignment="1">
      <alignment horizontal="left"/>
    </xf>
    <xf numFmtId="0" fontId="0" fillId="8" borderId="12" xfId="0" applyFill="1" applyBorder="1" applyAlignment="1">
      <alignment horizontal="center"/>
    </xf>
    <xf numFmtId="0" fontId="0" fillId="8" borderId="14" xfId="0" applyFill="1" applyBorder="1" applyAlignment="1">
      <alignment horizontal="center"/>
    </xf>
    <xf numFmtId="2" fontId="0" fillId="8" borderId="12" xfId="0" applyNumberFormat="1" applyFill="1" applyBorder="1" applyAlignment="1">
      <alignment horizontal="right"/>
    </xf>
    <xf numFmtId="0" fontId="0" fillId="8" borderId="14" xfId="0" applyFill="1" applyBorder="1" applyAlignment="1">
      <alignment horizontal="right"/>
    </xf>
    <xf numFmtId="2" fontId="0" fillId="8" borderId="12" xfId="0" applyNumberFormat="1" applyFill="1" applyBorder="1" applyAlignment="1">
      <alignment horizontal="center"/>
    </xf>
    <xf numFmtId="0" fontId="6" fillId="10" borderId="12" xfId="0" applyFont="1" applyFill="1" applyBorder="1" applyAlignment="1">
      <alignment horizontal="center"/>
    </xf>
    <xf numFmtId="0" fontId="6" fillId="10" borderId="14" xfId="0" applyFont="1" applyFill="1" applyBorder="1" applyAlignment="1">
      <alignment horizontal="center"/>
    </xf>
    <xf numFmtId="0" fontId="4" fillId="8" borderId="18" xfId="0" applyFont="1" applyFill="1" applyBorder="1" applyAlignment="1">
      <alignment horizontal="center"/>
    </xf>
    <xf numFmtId="43" fontId="5" fillId="15" borderId="12" xfId="0" applyNumberFormat="1" applyFont="1" applyFill="1" applyBorder="1" applyAlignment="1">
      <alignment horizontal="center"/>
    </xf>
    <xf numFmtId="43" fontId="5" fillId="15" borderId="14" xfId="0" applyNumberFormat="1" applyFont="1" applyFill="1" applyBorder="1" applyAlignment="1">
      <alignment horizontal="center"/>
    </xf>
    <xf numFmtId="0" fontId="0" fillId="8" borderId="12" xfId="0" applyFill="1" applyBorder="1" applyAlignment="1">
      <alignment horizontal="right"/>
    </xf>
    <xf numFmtId="0" fontId="0" fillId="8" borderId="12" xfId="0" quotePrefix="1" applyFill="1" applyBorder="1" applyAlignment="1">
      <alignment horizontal="center"/>
    </xf>
    <xf numFmtId="0" fontId="5" fillId="10" borderId="12" xfId="0" applyFont="1" applyFill="1" applyBorder="1" applyAlignment="1">
      <alignment horizontal="left"/>
    </xf>
    <xf numFmtId="0" fontId="5" fillId="10" borderId="14" xfId="0" applyFont="1" applyFill="1" applyBorder="1" applyAlignment="1">
      <alignment horizontal="left"/>
    </xf>
    <xf numFmtId="0" fontId="5" fillId="10" borderId="16" xfId="0" applyFont="1" applyFill="1" applyBorder="1" applyAlignment="1">
      <alignment horizontal="center"/>
    </xf>
    <xf numFmtId="0" fontId="5" fillId="10" borderId="15" xfId="0" applyFont="1"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0" fillId="8" borderId="13" xfId="0" applyFill="1" applyBorder="1" applyAlignment="1">
      <alignment horizontal="left"/>
    </xf>
    <xf numFmtId="0" fontId="0" fillId="8" borderId="4" xfId="0" applyFill="1" applyBorder="1" applyAlignment="1">
      <alignment horizontal="left"/>
    </xf>
    <xf numFmtId="0" fontId="0" fillId="8" borderId="4" xfId="0" applyFill="1" applyBorder="1" applyAlignment="1">
      <alignment horizontal="center"/>
    </xf>
    <xf numFmtId="43" fontId="5" fillId="15" borderId="12" xfId="0" applyNumberFormat="1" applyFont="1" applyFill="1" applyBorder="1" applyAlignment="1">
      <alignment horizontal="right"/>
    </xf>
    <xf numFmtId="43" fontId="5" fillId="15" borderId="14" xfId="0" applyNumberFormat="1" applyFont="1" applyFill="1" applyBorder="1" applyAlignment="1">
      <alignment horizontal="right"/>
    </xf>
    <xf numFmtId="2" fontId="0" fillId="8" borderId="14" xfId="0" applyNumberFormat="1" applyFill="1" applyBorder="1" applyAlignment="1">
      <alignment horizontal="right"/>
    </xf>
    <xf numFmtId="0" fontId="6" fillId="10" borderId="12" xfId="0" applyFont="1" applyFill="1" applyBorder="1" applyAlignment="1">
      <alignment horizontal="right"/>
    </xf>
    <xf numFmtId="0" fontId="6" fillId="10" borderId="14" xfId="0" applyFont="1" applyFill="1" applyBorder="1" applyAlignment="1">
      <alignment horizontal="right"/>
    </xf>
    <xf numFmtId="164" fontId="5" fillId="9" borderId="17" xfId="1" applyFont="1" applyFill="1" applyBorder="1" applyAlignment="1">
      <alignment horizontal="center" vertical="center"/>
    </xf>
    <xf numFmtId="0" fontId="0" fillId="18" borderId="27" xfId="0" applyFill="1" applyBorder="1" applyAlignment="1">
      <alignment horizontal="center" vertical="center"/>
    </xf>
    <xf numFmtId="0" fontId="0" fillId="18" borderId="28" xfId="0" applyFill="1" applyBorder="1" applyAlignment="1">
      <alignment horizontal="center" vertical="center"/>
    </xf>
    <xf numFmtId="0" fontId="4" fillId="18" borderId="21" xfId="0" applyFont="1" applyFill="1" applyBorder="1" applyAlignment="1">
      <alignment horizontal="center" vertical="center"/>
    </xf>
    <xf numFmtId="0" fontId="4" fillId="18" borderId="22" xfId="0" applyFont="1" applyFill="1" applyBorder="1" applyAlignment="1">
      <alignment horizontal="center" vertical="center"/>
    </xf>
    <xf numFmtId="0" fontId="4" fillId="18" borderId="23" xfId="0" applyFont="1" applyFill="1" applyBorder="1" applyAlignment="1">
      <alignment horizontal="center" vertical="center"/>
    </xf>
    <xf numFmtId="0" fontId="0" fillId="8" borderId="0" xfId="0" applyFill="1" applyAlignment="1">
      <alignment horizontal="left" vertical="top" wrapText="1"/>
    </xf>
    <xf numFmtId="164" fontId="5" fillId="9" borderId="16" xfId="1" applyFont="1" applyFill="1" applyBorder="1" applyAlignment="1">
      <alignment horizontal="center" vertical="center"/>
    </xf>
    <xf numFmtId="164" fontId="5" fillId="9" borderId="20" xfId="1" applyFont="1" applyFill="1" applyBorder="1" applyAlignment="1">
      <alignment horizontal="center" vertical="center"/>
    </xf>
    <xf numFmtId="164" fontId="5" fillId="9" borderId="15" xfId="1" applyFont="1" applyFill="1" applyBorder="1" applyAlignment="1">
      <alignment horizontal="center" vertical="center"/>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'Input en resultaat'!$D$44</c:f>
              <c:strCache>
                <c:ptCount val="1"/>
                <c:pt idx="0">
                  <c:v>Miscanthus  </c:v>
                </c:pt>
              </c:strCache>
            </c:strRef>
          </c:tx>
          <c:spPr>
            <a:solidFill>
              <a:schemeClr val="accent4">
                <a:lumMod val="50000"/>
              </a:schemeClr>
            </a:solidFill>
            <a:ln>
              <a:noFill/>
            </a:ln>
            <a:effectLst/>
          </c:spPr>
          <c:invertIfNegative val="0"/>
          <c:cat>
            <c:numRef>
              <c:f>'Input en resultaat'!$C$45:$C$65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'Input en resultaat'!$D$45:$D$65</c:f>
              <c:numCache>
                <c:formatCode>_("€"\ * #,##0.00_);_("€"\ * \(#,##0.00\);_("€"\ * "-"??_);_(@_)</c:formatCode>
                <c:ptCount val="21"/>
                <c:pt idx="0">
                  <c:v>-4676.3999999999996</c:v>
                </c:pt>
                <c:pt idx="1">
                  <c:v>-2007.6099999999997</c:v>
                </c:pt>
                <c:pt idx="2">
                  <c:v>1566.9600000000005</c:v>
                </c:pt>
                <c:pt idx="3">
                  <c:v>7447.99</c:v>
                </c:pt>
                <c:pt idx="4">
                  <c:v>13216.02</c:v>
                </c:pt>
                <c:pt idx="5">
                  <c:v>19097.05</c:v>
                </c:pt>
                <c:pt idx="6">
                  <c:v>24865.079999999998</c:v>
                </c:pt>
                <c:pt idx="7">
                  <c:v>30746.109999999997</c:v>
                </c:pt>
                <c:pt idx="8">
                  <c:v>36514.14</c:v>
                </c:pt>
                <c:pt idx="9">
                  <c:v>42395.17</c:v>
                </c:pt>
                <c:pt idx="10">
                  <c:v>48163.199999999997</c:v>
                </c:pt>
                <c:pt idx="11">
                  <c:v>54044.229999999996</c:v>
                </c:pt>
                <c:pt idx="12">
                  <c:v>59812.259999999995</c:v>
                </c:pt>
                <c:pt idx="13">
                  <c:v>65693.289999999994</c:v>
                </c:pt>
                <c:pt idx="14">
                  <c:v>71461.319999999992</c:v>
                </c:pt>
                <c:pt idx="15">
                  <c:v>77342.349999999991</c:v>
                </c:pt>
                <c:pt idx="16">
                  <c:v>83110.37999999999</c:v>
                </c:pt>
                <c:pt idx="17">
                  <c:v>88991.409999999989</c:v>
                </c:pt>
                <c:pt idx="18">
                  <c:v>94759.439999999988</c:v>
                </c:pt>
                <c:pt idx="19">
                  <c:v>100805.46999999999</c:v>
                </c:pt>
                <c:pt idx="20">
                  <c:v>106851.49999999999</c:v>
                </c:pt>
              </c:numCache>
            </c:numRef>
          </c:val>
          <c:extLst>
            <c:ext xmlns:c16="http://schemas.microsoft.com/office/drawing/2014/chart" uri="{C3380CC4-5D6E-409C-BE32-E72D297353CC}">
              <c16:uniqueId val="{00000000-3B94-144F-97E8-409F442B9367}"/>
            </c:ext>
          </c:extLst>
        </c:ser>
        <c:ser>
          <c:idx val="1"/>
          <c:order val="1"/>
          <c:tx>
            <c:strRef>
              <c:f>'Input en resultaat'!$E$44</c:f>
              <c:strCache>
                <c:ptCount val="1"/>
                <c:pt idx="0">
                  <c:v>Zonnekroon  </c:v>
                </c:pt>
              </c:strCache>
            </c:strRef>
          </c:tx>
          <c:spPr>
            <a:solidFill>
              <a:schemeClr val="accent4">
                <a:lumMod val="40000"/>
                <a:lumOff val="60000"/>
              </a:schemeClr>
            </a:solidFill>
            <a:ln>
              <a:noFill/>
            </a:ln>
            <a:effectLst/>
          </c:spPr>
          <c:invertIfNegative val="0"/>
          <c:cat>
            <c:numRef>
              <c:f>'Input en resultaat'!$C$45:$C$65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'Input en resultaat'!$E$45:$E$65</c:f>
              <c:numCache>
                <c:formatCode>_("€"\ * #,##0.00_);_("€"\ * \(#,##0.00\);_("€"\ * "-"??_);_(@_)</c:formatCode>
                <c:ptCount val="21"/>
                <c:pt idx="0">
                  <c:v>-506.4</c:v>
                </c:pt>
                <c:pt idx="1">
                  <c:v>-7.9500000000000455</c:v>
                </c:pt>
                <c:pt idx="2">
                  <c:v>2400.8000000000002</c:v>
                </c:pt>
                <c:pt idx="3">
                  <c:v>4834.05</c:v>
                </c:pt>
                <c:pt idx="4">
                  <c:v>7267.3</c:v>
                </c:pt>
                <c:pt idx="5">
                  <c:v>9700.5499999999993</c:v>
                </c:pt>
                <c:pt idx="6">
                  <c:v>12133.8</c:v>
                </c:pt>
                <c:pt idx="7">
                  <c:v>14567.05</c:v>
                </c:pt>
                <c:pt idx="8">
                  <c:v>17000.3</c:v>
                </c:pt>
                <c:pt idx="9">
                  <c:v>19433.55</c:v>
                </c:pt>
                <c:pt idx="10">
                  <c:v>21866.799999999999</c:v>
                </c:pt>
                <c:pt idx="11">
                  <c:v>24300.05</c:v>
                </c:pt>
                <c:pt idx="12">
                  <c:v>26733.3</c:v>
                </c:pt>
                <c:pt idx="13">
                  <c:v>29166.55</c:v>
                </c:pt>
                <c:pt idx="14">
                  <c:v>31599.8</c:v>
                </c:pt>
                <c:pt idx="15">
                  <c:v>34033.050000000003</c:v>
                </c:pt>
                <c:pt idx="16">
                  <c:v>36466.300000000003</c:v>
                </c:pt>
                <c:pt idx="17">
                  <c:v>38899.550000000003</c:v>
                </c:pt>
                <c:pt idx="18">
                  <c:v>41332.800000000003</c:v>
                </c:pt>
                <c:pt idx="19">
                  <c:v>43766.05</c:v>
                </c:pt>
                <c:pt idx="20">
                  <c:v>46199.3</c:v>
                </c:pt>
              </c:numCache>
            </c:numRef>
          </c:val>
          <c:extLst>
            <c:ext xmlns:c16="http://schemas.microsoft.com/office/drawing/2014/chart" uri="{C3380CC4-5D6E-409C-BE32-E72D297353CC}">
              <c16:uniqueId val="{00000001-3B94-144F-97E8-409F442B9367}"/>
            </c:ext>
          </c:extLst>
        </c:ser>
        <c:ser>
          <c:idx val="2"/>
          <c:order val="2"/>
          <c:tx>
            <c:strRef>
              <c:f>'Input en resultaat'!$F$44</c:f>
              <c:strCache>
                <c:ptCount val="1"/>
                <c:pt idx="0">
                  <c:v>Hennep  </c:v>
                </c:pt>
              </c:strCache>
            </c:strRef>
          </c:tx>
          <c:spPr>
            <a:solidFill>
              <a:schemeClr val="accent6"/>
            </a:solidFill>
            <a:ln>
              <a:noFill/>
            </a:ln>
            <a:effectLst/>
          </c:spPr>
          <c:invertIfNegative val="0"/>
          <c:cat>
            <c:numRef>
              <c:f>'Input en resultaat'!$C$45:$C$65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'Input en resultaat'!$F$45:$F$65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3B94-144F-97E8-409F442B9367}"/>
            </c:ext>
          </c:extLst>
        </c:ser>
        <c:ser>
          <c:idx val="4"/>
          <c:order val="3"/>
          <c:tx>
            <c:strRef>
              <c:f>'Input en resultaat'!$G$44</c:f>
              <c:strCache>
                <c:ptCount val="1"/>
                <c:pt idx="0">
                  <c:v>Graan (zand)</c:v>
                </c:pt>
              </c:strCache>
            </c:strRef>
          </c:tx>
          <c:spPr>
            <a:solidFill>
              <a:schemeClr val="accent4"/>
            </a:solidFill>
            <a:ln>
              <a:noFill/>
            </a:ln>
            <a:effectLst/>
          </c:spPr>
          <c:invertIfNegative val="0"/>
          <c:val>
            <c:numRef>
              <c:f>'Input en resultaat'!$G$45:$G$65</c:f>
              <c:numCache>
                <c:formatCode>_("€"\ * #,##0.00_);_("€"\ * \(#,##0.00\);_("€"\ * "-"??_);_(@_)</c:formatCode>
                <c:ptCount val="21"/>
                <c:pt idx="0">
                  <c:v>1263.0999999999999</c:v>
                </c:pt>
                <c:pt idx="1">
                  <c:v>2526.1999999999998</c:v>
                </c:pt>
                <c:pt idx="2">
                  <c:v>3789.2999999999997</c:v>
                </c:pt>
                <c:pt idx="3">
                  <c:v>5052.3999999999996</c:v>
                </c:pt>
                <c:pt idx="4">
                  <c:v>6315.5</c:v>
                </c:pt>
                <c:pt idx="5">
                  <c:v>7578.6</c:v>
                </c:pt>
                <c:pt idx="6">
                  <c:v>8841.7000000000007</c:v>
                </c:pt>
                <c:pt idx="7">
                  <c:v>10104.800000000001</c:v>
                </c:pt>
                <c:pt idx="8">
                  <c:v>11367.900000000001</c:v>
                </c:pt>
                <c:pt idx="9">
                  <c:v>12631.000000000002</c:v>
                </c:pt>
                <c:pt idx="10">
                  <c:v>13894.100000000002</c:v>
                </c:pt>
                <c:pt idx="11">
                  <c:v>15157.200000000003</c:v>
                </c:pt>
                <c:pt idx="12">
                  <c:v>16420.300000000003</c:v>
                </c:pt>
                <c:pt idx="13">
                  <c:v>17683.400000000001</c:v>
                </c:pt>
                <c:pt idx="14">
                  <c:v>18946.5</c:v>
                </c:pt>
                <c:pt idx="15">
                  <c:v>20209.599999999999</c:v>
                </c:pt>
                <c:pt idx="16">
                  <c:v>21472.699999999997</c:v>
                </c:pt>
                <c:pt idx="17">
                  <c:v>22735.799999999996</c:v>
                </c:pt>
                <c:pt idx="18">
                  <c:v>23998.899999999994</c:v>
                </c:pt>
                <c:pt idx="19">
                  <c:v>25261.999999999993</c:v>
                </c:pt>
                <c:pt idx="20">
                  <c:v>26525.099999999991</c:v>
                </c:pt>
              </c:numCache>
            </c:numRef>
          </c:val>
          <c:extLst>
            <c:ext xmlns:c16="http://schemas.microsoft.com/office/drawing/2014/chart" uri="{C3380CC4-5D6E-409C-BE32-E72D297353CC}">
              <c16:uniqueId val="{00000004-13DF-4E0B-9534-6C70CA558AC2}"/>
            </c:ext>
          </c:extLst>
        </c:ser>
        <c:ser>
          <c:idx val="3"/>
          <c:order val="4"/>
          <c:tx>
            <c:strRef>
              <c:f>'Input en resultaat'!$I$44</c:f>
              <c:strCache>
                <c:ptCount val="1"/>
                <c:pt idx="0">
                  <c:v>Mais</c:v>
                </c:pt>
              </c:strCache>
            </c:strRef>
          </c:tx>
          <c:spPr>
            <a:solidFill>
              <a:schemeClr val="accent2"/>
            </a:solidFill>
            <a:ln>
              <a:noFill/>
            </a:ln>
            <a:effectLst/>
          </c:spPr>
          <c:invertIfNegative val="0"/>
          <c:val>
            <c:numRef>
              <c:f>'Input en resultaat'!$I$45:$I$65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2-13DF-4E0B-9534-6C70CA558AC2}"/>
            </c:ext>
          </c:extLst>
        </c:ser>
        <c:ser>
          <c:idx val="5"/>
          <c:order val="5"/>
          <c:tx>
            <c:strRef>
              <c:f>'Input en resultaat'!$K$44</c:f>
              <c:strCache>
                <c:ptCount val="1"/>
                <c:pt idx="0">
                  <c:v>Sorghum</c:v>
                </c:pt>
              </c:strCache>
            </c:strRef>
          </c:tx>
          <c:spPr>
            <a:solidFill>
              <a:schemeClr val="accent4">
                <a:lumMod val="75000"/>
              </a:schemeClr>
            </a:solidFill>
            <a:ln>
              <a:noFill/>
            </a:ln>
            <a:effectLst/>
          </c:spPr>
          <c:invertIfNegative val="0"/>
          <c:val>
            <c:numRef>
              <c:f>'Input en resultaat'!$K$45:$K$65</c:f>
              <c:numCache>
                <c:formatCode>_("€"\ * #,##0.00_);_("€"\ * \(#,##0.00\);_("€"\ * "-"??_);_(@_)</c:formatCode>
                <c:ptCount val="21"/>
                <c:pt idx="0">
                  <c:v>1872.2</c:v>
                </c:pt>
                <c:pt idx="1">
                  <c:v>3744.4</c:v>
                </c:pt>
                <c:pt idx="2">
                  <c:v>5616.6</c:v>
                </c:pt>
                <c:pt idx="3">
                  <c:v>7488.8</c:v>
                </c:pt>
                <c:pt idx="4">
                  <c:v>9361</c:v>
                </c:pt>
                <c:pt idx="5">
                  <c:v>11233.2</c:v>
                </c:pt>
                <c:pt idx="6">
                  <c:v>13105.400000000001</c:v>
                </c:pt>
                <c:pt idx="7">
                  <c:v>14977.600000000002</c:v>
                </c:pt>
                <c:pt idx="8">
                  <c:v>16849.800000000003</c:v>
                </c:pt>
                <c:pt idx="9">
                  <c:v>18722.000000000004</c:v>
                </c:pt>
                <c:pt idx="10">
                  <c:v>20594.200000000004</c:v>
                </c:pt>
                <c:pt idx="11">
                  <c:v>22466.400000000005</c:v>
                </c:pt>
                <c:pt idx="12">
                  <c:v>24338.600000000006</c:v>
                </c:pt>
                <c:pt idx="13">
                  <c:v>26210.800000000007</c:v>
                </c:pt>
                <c:pt idx="14">
                  <c:v>28083.000000000007</c:v>
                </c:pt>
                <c:pt idx="15">
                  <c:v>29955.200000000008</c:v>
                </c:pt>
                <c:pt idx="16">
                  <c:v>31827.400000000009</c:v>
                </c:pt>
                <c:pt idx="17">
                  <c:v>33699.600000000006</c:v>
                </c:pt>
                <c:pt idx="18">
                  <c:v>35571.800000000003</c:v>
                </c:pt>
                <c:pt idx="19">
                  <c:v>37444</c:v>
                </c:pt>
                <c:pt idx="20">
                  <c:v>39316.199999999997</c:v>
                </c:pt>
              </c:numCache>
            </c:numRef>
          </c:val>
          <c:extLst>
            <c:ext xmlns:c16="http://schemas.microsoft.com/office/drawing/2014/chart" uri="{C3380CC4-5D6E-409C-BE32-E72D297353CC}">
              <c16:uniqueId val="{00000001-1523-4C4C-B609-514D76774CBE}"/>
            </c:ext>
          </c:extLst>
        </c:ser>
        <c:ser>
          <c:idx val="6"/>
          <c:order val="6"/>
          <c:tx>
            <c:strRef>
              <c:f>'Input en resultaat'!$M$44</c:f>
              <c:strCache>
                <c:ptCount val="1"/>
                <c:pt idx="0">
                  <c:v>Bamboe</c:v>
                </c:pt>
              </c:strCache>
            </c:strRef>
          </c:tx>
          <c:spPr>
            <a:solidFill>
              <a:schemeClr val="accent2">
                <a:lumMod val="50000"/>
              </a:schemeClr>
            </a:solidFill>
            <a:ln>
              <a:noFill/>
            </a:ln>
            <a:effectLst/>
          </c:spPr>
          <c:invertIfNegative val="0"/>
          <c:val>
            <c:numRef>
              <c:f>'Input en resultaat'!$M$45:$M$65</c:f>
              <c:numCache>
                <c:formatCode>_("€"\ * #,##0.00_);_("€"\ * \(#,##0.00\);_("€"\ * "-"??_);_(@_)</c:formatCode>
                <c:ptCount val="21"/>
                <c:pt idx="0">
                  <c:v>-4951</c:v>
                </c:pt>
                <c:pt idx="1">
                  <c:v>-5477</c:v>
                </c:pt>
                <c:pt idx="2">
                  <c:v>-6003</c:v>
                </c:pt>
                <c:pt idx="3">
                  <c:v>-6301.3360000000002</c:v>
                </c:pt>
                <c:pt idx="4">
                  <c:v>-5816.8556253443521</c:v>
                </c:pt>
                <c:pt idx="5">
                  <c:v>-4321.8948760330577</c:v>
                </c:pt>
                <c:pt idx="6">
                  <c:v>-1154.2400137741042</c:v>
                </c:pt>
                <c:pt idx="7">
                  <c:v>4390.8238705234162</c:v>
                </c:pt>
                <c:pt idx="8">
                  <c:v>10471.194573002758</c:v>
                </c:pt>
                <c:pt idx="9">
                  <c:v>17086.872093663915</c:v>
                </c:pt>
                <c:pt idx="10">
                  <c:v>24211.196826446285</c:v>
                </c:pt>
                <c:pt idx="11">
                  <c:v>31335.521559228655</c:v>
                </c:pt>
                <c:pt idx="12">
                  <c:v>42659.846292011025</c:v>
                </c:pt>
                <c:pt idx="13">
                  <c:v>49784.171024793395</c:v>
                </c:pt>
                <c:pt idx="14">
                  <c:v>56908.495757575765</c:v>
                </c:pt>
                <c:pt idx="15">
                  <c:v>64032.820490358135</c:v>
                </c:pt>
                <c:pt idx="16">
                  <c:v>71308.921223140511</c:v>
                </c:pt>
                <c:pt idx="17">
                  <c:v>79495.677955922874</c:v>
                </c:pt>
                <c:pt idx="18">
                  <c:v>87834.210688705251</c:v>
                </c:pt>
                <c:pt idx="19">
                  <c:v>96324.519421487625</c:v>
                </c:pt>
                <c:pt idx="20">
                  <c:v>104814.82815427</c:v>
                </c:pt>
              </c:numCache>
            </c:numRef>
          </c:val>
          <c:extLst>
            <c:ext xmlns:c16="http://schemas.microsoft.com/office/drawing/2014/chart" uri="{C3380CC4-5D6E-409C-BE32-E72D297353CC}">
              <c16:uniqueId val="{00000002-1523-4C4C-B609-514D76774CBE}"/>
            </c:ext>
          </c:extLst>
        </c:ser>
        <c:dLbls>
          <c:showLegendKey val="0"/>
          <c:showVal val="0"/>
          <c:showCatName val="0"/>
          <c:showSerName val="0"/>
          <c:showPercent val="0"/>
          <c:showBubbleSize val="0"/>
        </c:dLbls>
        <c:gapWidth val="219"/>
        <c:overlap val="-27"/>
        <c:axId val="209671024"/>
        <c:axId val="209900400"/>
      </c:barChart>
      <c:catAx>
        <c:axId val="20967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9900400"/>
        <c:crosses val="autoZero"/>
        <c:auto val="1"/>
        <c:lblAlgn val="ctr"/>
        <c:lblOffset val="100"/>
        <c:noMultiLvlLbl val="0"/>
      </c:catAx>
      <c:valAx>
        <c:axId val="2099004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967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50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867934843905619"/>
          <c:y val="0.26965086012458911"/>
          <c:w val="0.78784733158355202"/>
          <c:h val="0.67150335374744818"/>
        </c:manualLayout>
      </c:layout>
      <c:barChart>
        <c:barDir val="col"/>
        <c:grouping val="clustered"/>
        <c:varyColors val="0"/>
        <c:ser>
          <c:idx val="0"/>
          <c:order val="0"/>
          <c:tx>
            <c:strRef>
              <c:f>Miscanthus!$B$4</c:f>
              <c:strCache>
                <c:ptCount val="1"/>
                <c:pt idx="0">
                  <c:v>vergelijkende teelt</c:v>
                </c:pt>
              </c:strCache>
            </c:strRef>
          </c:tx>
          <c:spPr>
            <a:solidFill>
              <a:srgbClr val="FF0000"/>
            </a:solidFill>
            <a:ln>
              <a:noFill/>
            </a:ln>
            <a:effectLst/>
          </c:spPr>
          <c:invertIfNegative val="0"/>
          <c:cat>
            <c:numRef>
              <c:f>Miscanthus!$A$5:$A$25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Miscanthus!$B$5:$B$25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7AF5-7F4C-A2BC-E38260978385}"/>
            </c:ext>
          </c:extLst>
        </c:ser>
        <c:ser>
          <c:idx val="1"/>
          <c:order val="1"/>
          <c:tx>
            <c:strRef>
              <c:f>Miscanthus!$C$4</c:f>
              <c:strCache>
                <c:ptCount val="1"/>
                <c:pt idx="0">
                  <c:v>Saldo zonder
 credits</c:v>
                </c:pt>
              </c:strCache>
            </c:strRef>
          </c:tx>
          <c:spPr>
            <a:solidFill>
              <a:schemeClr val="accent4">
                <a:lumMod val="60000"/>
                <a:lumOff val="40000"/>
              </a:schemeClr>
            </a:solidFill>
            <a:ln>
              <a:noFill/>
            </a:ln>
            <a:effectLst/>
          </c:spPr>
          <c:invertIfNegative val="0"/>
          <c:cat>
            <c:numRef>
              <c:f>Miscanthus!$A$5:$A$25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Miscanthus!$C$5:$C$25</c:f>
              <c:numCache>
                <c:formatCode>_("€"\ * #,##0.00_);_("€"\ * \(#,##0.00\);_("€"\ * "-"??_);_(@_)</c:formatCode>
                <c:ptCount val="21"/>
                <c:pt idx="0">
                  <c:v>-4696</c:v>
                </c:pt>
                <c:pt idx="1">
                  <c:v>-2769</c:v>
                </c:pt>
                <c:pt idx="2">
                  <c:v>-199</c:v>
                </c:pt>
                <c:pt idx="3">
                  <c:v>4196</c:v>
                </c:pt>
                <c:pt idx="4">
                  <c:v>8478</c:v>
                </c:pt>
                <c:pt idx="5">
                  <c:v>12873</c:v>
                </c:pt>
                <c:pt idx="6">
                  <c:v>17155</c:v>
                </c:pt>
                <c:pt idx="7">
                  <c:v>21550</c:v>
                </c:pt>
                <c:pt idx="8">
                  <c:v>25832</c:v>
                </c:pt>
                <c:pt idx="9">
                  <c:v>30227</c:v>
                </c:pt>
                <c:pt idx="10">
                  <c:v>34509</c:v>
                </c:pt>
                <c:pt idx="11">
                  <c:v>38904</c:v>
                </c:pt>
                <c:pt idx="12">
                  <c:v>43186</c:v>
                </c:pt>
                <c:pt idx="13">
                  <c:v>47581</c:v>
                </c:pt>
                <c:pt idx="14">
                  <c:v>51863</c:v>
                </c:pt>
                <c:pt idx="15">
                  <c:v>56258</c:v>
                </c:pt>
                <c:pt idx="16">
                  <c:v>60540</c:v>
                </c:pt>
                <c:pt idx="17">
                  <c:v>64935</c:v>
                </c:pt>
                <c:pt idx="18">
                  <c:v>69217</c:v>
                </c:pt>
                <c:pt idx="19">
                  <c:v>73777</c:v>
                </c:pt>
                <c:pt idx="20">
                  <c:v>78337</c:v>
                </c:pt>
              </c:numCache>
            </c:numRef>
          </c:val>
          <c:extLst>
            <c:ext xmlns:c16="http://schemas.microsoft.com/office/drawing/2014/chart" uri="{C3380CC4-5D6E-409C-BE32-E72D297353CC}">
              <c16:uniqueId val="{00000001-7AF5-7F4C-A2BC-E38260978385}"/>
            </c:ext>
          </c:extLst>
        </c:ser>
        <c:ser>
          <c:idx val="2"/>
          <c:order val="2"/>
          <c:tx>
            <c:strRef>
              <c:f>Miscanthus!$D$4</c:f>
              <c:strCache>
                <c:ptCount val="1"/>
                <c:pt idx="0">
                  <c:v>Saldo met 
credits </c:v>
                </c:pt>
              </c:strCache>
            </c:strRef>
          </c:tx>
          <c:spPr>
            <a:solidFill>
              <a:schemeClr val="accent6"/>
            </a:solidFill>
            <a:ln>
              <a:noFill/>
            </a:ln>
            <a:effectLst/>
          </c:spPr>
          <c:invertIfNegative val="0"/>
          <c:cat>
            <c:numRef>
              <c:f>Miscanthus!$A$5:$A$25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Miscanthus!$D$5:$D$25</c:f>
              <c:numCache>
                <c:formatCode>_("€"\ * #,##0.00_);_("€"\ * \(#,##0.00\);_("€"\ * "-"??_);_(@_)</c:formatCode>
                <c:ptCount val="21"/>
                <c:pt idx="0">
                  <c:v>-4676.3999999999996</c:v>
                </c:pt>
                <c:pt idx="1">
                  <c:v>-2007.6099999999997</c:v>
                </c:pt>
                <c:pt idx="2">
                  <c:v>1566.9600000000005</c:v>
                </c:pt>
                <c:pt idx="3">
                  <c:v>7447.99</c:v>
                </c:pt>
                <c:pt idx="4">
                  <c:v>13216.02</c:v>
                </c:pt>
                <c:pt idx="5">
                  <c:v>19097.05</c:v>
                </c:pt>
                <c:pt idx="6">
                  <c:v>24865.079999999998</c:v>
                </c:pt>
                <c:pt idx="7">
                  <c:v>30746.109999999997</c:v>
                </c:pt>
                <c:pt idx="8">
                  <c:v>36514.14</c:v>
                </c:pt>
                <c:pt idx="9">
                  <c:v>42395.17</c:v>
                </c:pt>
                <c:pt idx="10">
                  <c:v>48163.199999999997</c:v>
                </c:pt>
                <c:pt idx="11">
                  <c:v>54044.229999999996</c:v>
                </c:pt>
                <c:pt idx="12">
                  <c:v>59812.259999999995</c:v>
                </c:pt>
                <c:pt idx="13">
                  <c:v>65693.289999999994</c:v>
                </c:pt>
                <c:pt idx="14">
                  <c:v>71461.319999999992</c:v>
                </c:pt>
                <c:pt idx="15">
                  <c:v>77342.349999999991</c:v>
                </c:pt>
                <c:pt idx="16">
                  <c:v>83110.37999999999</c:v>
                </c:pt>
                <c:pt idx="17">
                  <c:v>88991.409999999989</c:v>
                </c:pt>
                <c:pt idx="18">
                  <c:v>94759.439999999988</c:v>
                </c:pt>
                <c:pt idx="19">
                  <c:v>100805.46999999999</c:v>
                </c:pt>
                <c:pt idx="20">
                  <c:v>106851.49999999999</c:v>
                </c:pt>
              </c:numCache>
            </c:numRef>
          </c:val>
          <c:extLst>
            <c:ext xmlns:c16="http://schemas.microsoft.com/office/drawing/2014/chart" uri="{C3380CC4-5D6E-409C-BE32-E72D297353CC}">
              <c16:uniqueId val="{00000002-7AF5-7F4C-A2BC-E38260978385}"/>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24289720727862679"/>
          <c:y val="0.47853978349359522"/>
          <c:w val="0.33658443021038148"/>
          <c:h val="4.562383592841421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24699544135"/>
          <c:y val="0.26309102562577535"/>
          <c:w val="0.78784733158355202"/>
          <c:h val="0.67150335374744818"/>
        </c:manualLayout>
      </c:layout>
      <c:barChart>
        <c:barDir val="col"/>
        <c:grouping val="clustered"/>
        <c:varyColors val="0"/>
        <c:ser>
          <c:idx val="0"/>
          <c:order val="0"/>
          <c:tx>
            <c:strRef>
              <c:f>Zonnekroon!$B$4</c:f>
              <c:strCache>
                <c:ptCount val="1"/>
                <c:pt idx="0">
                  <c:v>vergelijkende teelt</c:v>
                </c:pt>
              </c:strCache>
            </c:strRef>
          </c:tx>
          <c:spPr>
            <a:solidFill>
              <a:srgbClr val="FF0000"/>
            </a:solidFill>
            <a:ln>
              <a:noFill/>
            </a:ln>
            <a:effectLst/>
          </c:spPr>
          <c:invertIfNegative val="0"/>
          <c:cat>
            <c:numRef>
              <c:f>Zonnekroon!$A$5:$A$25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Zonnekroon!$B$5:$B$25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9CB0-C14A-ADBB-820F2E2F89B3}"/>
            </c:ext>
          </c:extLst>
        </c:ser>
        <c:ser>
          <c:idx val="1"/>
          <c:order val="1"/>
          <c:tx>
            <c:strRef>
              <c:f>Zonnekroon!$C$4</c:f>
              <c:strCache>
                <c:ptCount val="1"/>
                <c:pt idx="0">
                  <c:v>Saldo zonder
 credits</c:v>
                </c:pt>
              </c:strCache>
            </c:strRef>
          </c:tx>
          <c:spPr>
            <a:solidFill>
              <a:schemeClr val="accent4">
                <a:lumMod val="60000"/>
                <a:lumOff val="40000"/>
              </a:schemeClr>
            </a:solidFill>
            <a:ln>
              <a:noFill/>
            </a:ln>
            <a:effectLst/>
          </c:spPr>
          <c:invertIfNegative val="0"/>
          <c:cat>
            <c:numRef>
              <c:f>Zonnekroon!$A$5:$A$25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Zonnekroon!$C$5:$C$25</c:f>
              <c:numCache>
                <c:formatCode>_("€"\ * #,##0.00_);_("€"\ * \(#,##0.00\);_("€"\ * "-"??_);_(@_)</c:formatCode>
                <c:ptCount val="21"/>
                <c:pt idx="0">
                  <c:v>-526</c:v>
                </c:pt>
                <c:pt idx="1">
                  <c:v>-369.5</c:v>
                </c:pt>
                <c:pt idx="2">
                  <c:v>1187</c:v>
                </c:pt>
                <c:pt idx="3">
                  <c:v>2743.5</c:v>
                </c:pt>
                <c:pt idx="4">
                  <c:v>4300</c:v>
                </c:pt>
                <c:pt idx="5">
                  <c:v>5856.5</c:v>
                </c:pt>
                <c:pt idx="6">
                  <c:v>7413</c:v>
                </c:pt>
                <c:pt idx="7">
                  <c:v>8969.5</c:v>
                </c:pt>
                <c:pt idx="8">
                  <c:v>10526</c:v>
                </c:pt>
                <c:pt idx="9">
                  <c:v>12082.5</c:v>
                </c:pt>
                <c:pt idx="10">
                  <c:v>13639</c:v>
                </c:pt>
                <c:pt idx="11">
                  <c:v>15195.5</c:v>
                </c:pt>
                <c:pt idx="12">
                  <c:v>16752</c:v>
                </c:pt>
                <c:pt idx="13">
                  <c:v>18308.5</c:v>
                </c:pt>
                <c:pt idx="14">
                  <c:v>19865</c:v>
                </c:pt>
                <c:pt idx="15">
                  <c:v>21421.5</c:v>
                </c:pt>
                <c:pt idx="16">
                  <c:v>22978</c:v>
                </c:pt>
                <c:pt idx="17">
                  <c:v>24534.5</c:v>
                </c:pt>
                <c:pt idx="18">
                  <c:v>26091</c:v>
                </c:pt>
                <c:pt idx="19">
                  <c:v>27647.5</c:v>
                </c:pt>
                <c:pt idx="20">
                  <c:v>29204</c:v>
                </c:pt>
              </c:numCache>
            </c:numRef>
          </c:val>
          <c:extLst>
            <c:ext xmlns:c16="http://schemas.microsoft.com/office/drawing/2014/chart" uri="{C3380CC4-5D6E-409C-BE32-E72D297353CC}">
              <c16:uniqueId val="{00000001-9CB0-C14A-ADBB-820F2E2F89B3}"/>
            </c:ext>
          </c:extLst>
        </c:ser>
        <c:ser>
          <c:idx val="2"/>
          <c:order val="2"/>
          <c:tx>
            <c:strRef>
              <c:f>Zonnekroon!$D$4</c:f>
              <c:strCache>
                <c:ptCount val="1"/>
                <c:pt idx="0">
                  <c:v>Saldo met 
credits </c:v>
                </c:pt>
              </c:strCache>
            </c:strRef>
          </c:tx>
          <c:spPr>
            <a:solidFill>
              <a:schemeClr val="accent6"/>
            </a:solidFill>
            <a:ln>
              <a:noFill/>
            </a:ln>
            <a:effectLst/>
          </c:spPr>
          <c:invertIfNegative val="0"/>
          <c:cat>
            <c:numRef>
              <c:f>Zonnekroon!$A$5:$A$25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Zonnekroon!$D$5:$D$25</c:f>
              <c:numCache>
                <c:formatCode>_("€"\ * #,##0.00_);_("€"\ * \(#,##0.00\);_("€"\ * "-"??_);_(@_)</c:formatCode>
                <c:ptCount val="21"/>
                <c:pt idx="0">
                  <c:v>-506.4</c:v>
                </c:pt>
                <c:pt idx="1">
                  <c:v>-7.9500000000000455</c:v>
                </c:pt>
                <c:pt idx="2">
                  <c:v>2400.8000000000002</c:v>
                </c:pt>
                <c:pt idx="3">
                  <c:v>4834.05</c:v>
                </c:pt>
                <c:pt idx="4">
                  <c:v>7267.3</c:v>
                </c:pt>
                <c:pt idx="5">
                  <c:v>9700.5499999999993</c:v>
                </c:pt>
                <c:pt idx="6">
                  <c:v>12133.8</c:v>
                </c:pt>
                <c:pt idx="7">
                  <c:v>14567.05</c:v>
                </c:pt>
                <c:pt idx="8">
                  <c:v>17000.3</c:v>
                </c:pt>
                <c:pt idx="9">
                  <c:v>19433.55</c:v>
                </c:pt>
                <c:pt idx="10">
                  <c:v>21866.799999999999</c:v>
                </c:pt>
                <c:pt idx="11">
                  <c:v>24300.05</c:v>
                </c:pt>
                <c:pt idx="12">
                  <c:v>26733.3</c:v>
                </c:pt>
                <c:pt idx="13">
                  <c:v>29166.55</c:v>
                </c:pt>
                <c:pt idx="14">
                  <c:v>31599.8</c:v>
                </c:pt>
                <c:pt idx="15">
                  <c:v>34033.050000000003</c:v>
                </c:pt>
                <c:pt idx="16">
                  <c:v>36466.300000000003</c:v>
                </c:pt>
                <c:pt idx="17">
                  <c:v>38899.550000000003</c:v>
                </c:pt>
                <c:pt idx="18">
                  <c:v>41332.800000000003</c:v>
                </c:pt>
                <c:pt idx="19">
                  <c:v>43766.05</c:v>
                </c:pt>
                <c:pt idx="20">
                  <c:v>46199.3</c:v>
                </c:pt>
              </c:numCache>
            </c:numRef>
          </c:val>
          <c:extLst>
            <c:ext xmlns:c16="http://schemas.microsoft.com/office/drawing/2014/chart" uri="{C3380CC4-5D6E-409C-BE32-E72D297353CC}">
              <c16:uniqueId val="{00000002-9CB0-C14A-ADBB-820F2E2F89B3}"/>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28073358509949042"/>
          <c:y val="0.41564688586968312"/>
          <c:w val="0.25158796499411179"/>
          <c:h val="9.65497251157508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19099509851"/>
          <c:y val="0.25635853369325962"/>
          <c:w val="0.78784733158355202"/>
          <c:h val="0.67150335374744818"/>
        </c:manualLayout>
      </c:layout>
      <c:barChart>
        <c:barDir val="col"/>
        <c:grouping val="clustered"/>
        <c:varyColors val="0"/>
        <c:ser>
          <c:idx val="0"/>
          <c:order val="0"/>
          <c:tx>
            <c:strRef>
              <c:f>Hennep!$B$4</c:f>
              <c:strCache>
                <c:ptCount val="1"/>
                <c:pt idx="0">
                  <c:v>vergelijkende
 teelt</c:v>
                </c:pt>
              </c:strCache>
            </c:strRef>
          </c:tx>
          <c:spPr>
            <a:solidFill>
              <a:srgbClr val="FF0000"/>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0E58-BC49-BA55-616CCF472A2D}"/>
            </c:ext>
          </c:extLst>
        </c:ser>
        <c:ser>
          <c:idx val="1"/>
          <c:order val="1"/>
          <c:tx>
            <c:strRef>
              <c:f>Hennep!$C$4</c:f>
              <c:strCache>
                <c:ptCount val="1"/>
                <c:pt idx="0">
                  <c:v>Saldo zonder
 credits</c:v>
                </c:pt>
              </c:strCache>
            </c:strRef>
          </c:tx>
          <c:spPr>
            <a:solidFill>
              <a:schemeClr val="accent4">
                <a:lumMod val="60000"/>
                <a:lumOff val="40000"/>
              </a:schemeClr>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Hennep!$C$5:$C$25</c:f>
              <c:numCache>
                <c:formatCode>_("€"\ * #,##0.00_);_("€"\ * \(#,##0.00\);_("€"\ * "-"??_);_(@_)</c:formatCode>
                <c:ptCount val="21"/>
                <c:pt idx="0">
                  <c:v>1284.25</c:v>
                </c:pt>
                <c:pt idx="1">
                  <c:v>2568.5</c:v>
                </c:pt>
                <c:pt idx="2">
                  <c:v>3852.75</c:v>
                </c:pt>
                <c:pt idx="3">
                  <c:v>5137</c:v>
                </c:pt>
                <c:pt idx="4">
                  <c:v>6421.25</c:v>
                </c:pt>
                <c:pt idx="5">
                  <c:v>7705.5</c:v>
                </c:pt>
                <c:pt idx="6">
                  <c:v>8989.75</c:v>
                </c:pt>
                <c:pt idx="7">
                  <c:v>10274</c:v>
                </c:pt>
                <c:pt idx="8">
                  <c:v>11558.25</c:v>
                </c:pt>
                <c:pt idx="9">
                  <c:v>12842.5</c:v>
                </c:pt>
                <c:pt idx="10">
                  <c:v>14126.75</c:v>
                </c:pt>
                <c:pt idx="11">
                  <c:v>15411</c:v>
                </c:pt>
                <c:pt idx="12">
                  <c:v>16695.25</c:v>
                </c:pt>
                <c:pt idx="13">
                  <c:v>17979.5</c:v>
                </c:pt>
                <c:pt idx="14">
                  <c:v>19263.75</c:v>
                </c:pt>
                <c:pt idx="15">
                  <c:v>20548</c:v>
                </c:pt>
                <c:pt idx="16">
                  <c:v>21832.25</c:v>
                </c:pt>
                <c:pt idx="17">
                  <c:v>23116.5</c:v>
                </c:pt>
                <c:pt idx="18">
                  <c:v>24400.75</c:v>
                </c:pt>
                <c:pt idx="19">
                  <c:v>25685</c:v>
                </c:pt>
                <c:pt idx="20">
                  <c:v>26969.25</c:v>
                </c:pt>
              </c:numCache>
            </c:numRef>
          </c:val>
          <c:extLst>
            <c:ext xmlns:c16="http://schemas.microsoft.com/office/drawing/2014/chart" uri="{C3380CC4-5D6E-409C-BE32-E72D297353CC}">
              <c16:uniqueId val="{00000001-0E58-BC49-BA55-616CCF472A2D}"/>
            </c:ext>
          </c:extLst>
        </c:ser>
        <c:ser>
          <c:idx val="2"/>
          <c:order val="2"/>
          <c:tx>
            <c:strRef>
              <c:f>Hennep!$D$4</c:f>
              <c:strCache>
                <c:ptCount val="1"/>
                <c:pt idx="0">
                  <c:v>Saldo met 
credits </c:v>
                </c:pt>
              </c:strCache>
            </c:strRef>
          </c:tx>
          <c:spPr>
            <a:solidFill>
              <a:schemeClr val="accent6"/>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Hennep!$D$5:$D$25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0E58-BC49-BA55-616CCF472A2D}"/>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30421385016073749"/>
          <c:y val="0.44706815348374074"/>
          <c:w val="0.25401394956173196"/>
          <c:h val="6.168432073788469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19099509851"/>
          <c:y val="0.25635853369325962"/>
          <c:w val="0.78784733158355202"/>
          <c:h val="0.67150335374744818"/>
        </c:manualLayout>
      </c:layout>
      <c:barChart>
        <c:barDir val="col"/>
        <c:grouping val="clustered"/>
        <c:varyColors val="0"/>
        <c:ser>
          <c:idx val="0"/>
          <c:order val="0"/>
          <c:tx>
            <c:strRef>
              <c:f>Hennep!$B$4</c:f>
              <c:strCache>
                <c:ptCount val="1"/>
                <c:pt idx="0">
                  <c:v>vergelijkende
 teelt</c:v>
                </c:pt>
              </c:strCache>
            </c:strRef>
          </c:tx>
          <c:spPr>
            <a:solidFill>
              <a:srgbClr val="FF0000"/>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9B9D-4A8F-A399-917A083CD08E}"/>
            </c:ext>
          </c:extLst>
        </c:ser>
        <c:ser>
          <c:idx val="1"/>
          <c:order val="1"/>
          <c:tx>
            <c:strRef>
              <c:f>Hennep!$C$4</c:f>
              <c:strCache>
                <c:ptCount val="1"/>
                <c:pt idx="0">
                  <c:v>Saldo zonder
 credits</c:v>
                </c:pt>
              </c:strCache>
            </c:strRef>
          </c:tx>
          <c:spPr>
            <a:solidFill>
              <a:schemeClr val="accent4">
                <a:lumMod val="60000"/>
                <a:lumOff val="40000"/>
              </a:schemeClr>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Hennep!$C$5:$C$25</c:f>
              <c:numCache>
                <c:formatCode>_("€"\ * #,##0.00_);_("€"\ * \(#,##0.00\);_("€"\ * "-"??_);_(@_)</c:formatCode>
                <c:ptCount val="21"/>
                <c:pt idx="0">
                  <c:v>1284.25</c:v>
                </c:pt>
                <c:pt idx="1">
                  <c:v>2568.5</c:v>
                </c:pt>
                <c:pt idx="2">
                  <c:v>3852.75</c:v>
                </c:pt>
                <c:pt idx="3">
                  <c:v>5137</c:v>
                </c:pt>
                <c:pt idx="4">
                  <c:v>6421.25</c:v>
                </c:pt>
                <c:pt idx="5">
                  <c:v>7705.5</c:v>
                </c:pt>
                <c:pt idx="6">
                  <c:v>8989.75</c:v>
                </c:pt>
                <c:pt idx="7">
                  <c:v>10274</c:v>
                </c:pt>
                <c:pt idx="8">
                  <c:v>11558.25</c:v>
                </c:pt>
                <c:pt idx="9">
                  <c:v>12842.5</c:v>
                </c:pt>
                <c:pt idx="10">
                  <c:v>14126.75</c:v>
                </c:pt>
                <c:pt idx="11">
                  <c:v>15411</c:v>
                </c:pt>
                <c:pt idx="12">
                  <c:v>16695.25</c:v>
                </c:pt>
                <c:pt idx="13">
                  <c:v>17979.5</c:v>
                </c:pt>
                <c:pt idx="14">
                  <c:v>19263.75</c:v>
                </c:pt>
                <c:pt idx="15">
                  <c:v>20548</c:v>
                </c:pt>
                <c:pt idx="16">
                  <c:v>21832.25</c:v>
                </c:pt>
                <c:pt idx="17">
                  <c:v>23116.5</c:v>
                </c:pt>
                <c:pt idx="18">
                  <c:v>24400.75</c:v>
                </c:pt>
                <c:pt idx="19">
                  <c:v>25685</c:v>
                </c:pt>
                <c:pt idx="20">
                  <c:v>26969.25</c:v>
                </c:pt>
              </c:numCache>
            </c:numRef>
          </c:val>
          <c:extLst>
            <c:ext xmlns:c16="http://schemas.microsoft.com/office/drawing/2014/chart" uri="{C3380CC4-5D6E-409C-BE32-E72D297353CC}">
              <c16:uniqueId val="{00000001-9B9D-4A8F-A399-917A083CD08E}"/>
            </c:ext>
          </c:extLst>
        </c:ser>
        <c:ser>
          <c:idx val="2"/>
          <c:order val="2"/>
          <c:tx>
            <c:strRef>
              <c:f>Hennep!$D$4</c:f>
              <c:strCache>
                <c:ptCount val="1"/>
                <c:pt idx="0">
                  <c:v>Saldo met 
credits </c:v>
                </c:pt>
              </c:strCache>
            </c:strRef>
          </c:tx>
          <c:spPr>
            <a:solidFill>
              <a:schemeClr val="accent6"/>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Hennep!$D$5:$D$25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9B9D-4A8F-A399-917A083CD08E}"/>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30421385016073749"/>
          <c:y val="0.44706815348374074"/>
          <c:w val="0.25401394956173196"/>
          <c:h val="6.168432073788469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19099509851"/>
          <c:y val="0.25635853369325962"/>
          <c:w val="0.78784733158355202"/>
          <c:h val="0.67150335374744818"/>
        </c:manualLayout>
      </c:layout>
      <c:barChart>
        <c:barDir val="col"/>
        <c:grouping val="clustered"/>
        <c:varyColors val="0"/>
        <c:ser>
          <c:idx val="0"/>
          <c:order val="0"/>
          <c:tx>
            <c:strRef>
              <c:f>Hennep!$B$4</c:f>
              <c:strCache>
                <c:ptCount val="1"/>
                <c:pt idx="0">
                  <c:v>vergelijkende
 teelt</c:v>
                </c:pt>
              </c:strCache>
            </c:strRef>
          </c:tx>
          <c:spPr>
            <a:solidFill>
              <a:srgbClr val="FF0000"/>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A66D-40B3-BFB4-C47BE0B11851}"/>
            </c:ext>
          </c:extLst>
        </c:ser>
        <c:ser>
          <c:idx val="1"/>
          <c:order val="1"/>
          <c:tx>
            <c:strRef>
              <c:f>Hennep!$C$4</c:f>
              <c:strCache>
                <c:ptCount val="1"/>
                <c:pt idx="0">
                  <c:v>Saldo zonder
 credits</c:v>
                </c:pt>
              </c:strCache>
            </c:strRef>
          </c:tx>
          <c:spPr>
            <a:solidFill>
              <a:schemeClr val="accent4">
                <a:lumMod val="60000"/>
                <a:lumOff val="40000"/>
              </a:schemeClr>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Hennep!$C$5:$C$25</c:f>
              <c:numCache>
                <c:formatCode>_("€"\ * #,##0.00_);_("€"\ * \(#,##0.00\);_("€"\ * "-"??_);_(@_)</c:formatCode>
                <c:ptCount val="21"/>
                <c:pt idx="0">
                  <c:v>1284.25</c:v>
                </c:pt>
                <c:pt idx="1">
                  <c:v>2568.5</c:v>
                </c:pt>
                <c:pt idx="2">
                  <c:v>3852.75</c:v>
                </c:pt>
                <c:pt idx="3">
                  <c:v>5137</c:v>
                </c:pt>
                <c:pt idx="4">
                  <c:v>6421.25</c:v>
                </c:pt>
                <c:pt idx="5">
                  <c:v>7705.5</c:v>
                </c:pt>
                <c:pt idx="6">
                  <c:v>8989.75</c:v>
                </c:pt>
                <c:pt idx="7">
                  <c:v>10274</c:v>
                </c:pt>
                <c:pt idx="8">
                  <c:v>11558.25</c:v>
                </c:pt>
                <c:pt idx="9">
                  <c:v>12842.5</c:v>
                </c:pt>
                <c:pt idx="10">
                  <c:v>14126.75</c:v>
                </c:pt>
                <c:pt idx="11">
                  <c:v>15411</c:v>
                </c:pt>
                <c:pt idx="12">
                  <c:v>16695.25</c:v>
                </c:pt>
                <c:pt idx="13">
                  <c:v>17979.5</c:v>
                </c:pt>
                <c:pt idx="14">
                  <c:v>19263.75</c:v>
                </c:pt>
                <c:pt idx="15">
                  <c:v>20548</c:v>
                </c:pt>
                <c:pt idx="16">
                  <c:v>21832.25</c:v>
                </c:pt>
                <c:pt idx="17">
                  <c:v>23116.5</c:v>
                </c:pt>
                <c:pt idx="18">
                  <c:v>24400.75</c:v>
                </c:pt>
                <c:pt idx="19">
                  <c:v>25685</c:v>
                </c:pt>
                <c:pt idx="20">
                  <c:v>26969.25</c:v>
                </c:pt>
              </c:numCache>
            </c:numRef>
          </c:val>
          <c:extLst>
            <c:ext xmlns:c16="http://schemas.microsoft.com/office/drawing/2014/chart" uri="{C3380CC4-5D6E-409C-BE32-E72D297353CC}">
              <c16:uniqueId val="{00000001-A66D-40B3-BFB4-C47BE0B11851}"/>
            </c:ext>
          </c:extLst>
        </c:ser>
        <c:ser>
          <c:idx val="2"/>
          <c:order val="2"/>
          <c:tx>
            <c:strRef>
              <c:f>Hennep!$D$4</c:f>
              <c:strCache>
                <c:ptCount val="1"/>
                <c:pt idx="0">
                  <c:v>Saldo met 
credits </c:v>
                </c:pt>
              </c:strCache>
            </c:strRef>
          </c:tx>
          <c:spPr>
            <a:solidFill>
              <a:schemeClr val="accent6"/>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Hennep!$D$5:$D$25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A66D-40B3-BFB4-C47BE0B11851}"/>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30421385016073749"/>
          <c:y val="0.44706815348374074"/>
          <c:w val="0.25401394956173196"/>
          <c:h val="6.168432073788469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19099509851"/>
          <c:y val="0.25635853369325962"/>
          <c:w val="0.78784733158355202"/>
          <c:h val="0.67150335374744818"/>
        </c:manualLayout>
      </c:layout>
      <c:barChart>
        <c:barDir val="col"/>
        <c:grouping val="clustered"/>
        <c:varyColors val="0"/>
        <c:ser>
          <c:idx val="0"/>
          <c:order val="0"/>
          <c:tx>
            <c:strRef>
              <c:f>Hennep!$B$4</c:f>
              <c:strCache>
                <c:ptCount val="1"/>
                <c:pt idx="0">
                  <c:v>vergelijkende
 teelt</c:v>
                </c:pt>
              </c:strCache>
            </c:strRef>
          </c:tx>
          <c:spPr>
            <a:solidFill>
              <a:srgbClr val="FF0000"/>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7B8E-4ABB-9B4C-50DABE8803F1}"/>
            </c:ext>
          </c:extLst>
        </c:ser>
        <c:ser>
          <c:idx val="1"/>
          <c:order val="1"/>
          <c:tx>
            <c:strRef>
              <c:f>Hennep!$C$4</c:f>
              <c:strCache>
                <c:ptCount val="1"/>
                <c:pt idx="0">
                  <c:v>Saldo zonder
 credits</c:v>
                </c:pt>
              </c:strCache>
            </c:strRef>
          </c:tx>
          <c:spPr>
            <a:solidFill>
              <a:schemeClr val="accent4">
                <a:lumMod val="60000"/>
                <a:lumOff val="40000"/>
              </a:schemeClr>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Hennep!$C$5:$C$25</c:f>
              <c:numCache>
                <c:formatCode>_("€"\ * #,##0.00_);_("€"\ * \(#,##0.00\);_("€"\ * "-"??_);_(@_)</c:formatCode>
                <c:ptCount val="21"/>
                <c:pt idx="0">
                  <c:v>1284.25</c:v>
                </c:pt>
                <c:pt idx="1">
                  <c:v>2568.5</c:v>
                </c:pt>
                <c:pt idx="2">
                  <c:v>3852.75</c:v>
                </c:pt>
                <c:pt idx="3">
                  <c:v>5137</c:v>
                </c:pt>
                <c:pt idx="4">
                  <c:v>6421.25</c:v>
                </c:pt>
                <c:pt idx="5">
                  <c:v>7705.5</c:v>
                </c:pt>
                <c:pt idx="6">
                  <c:v>8989.75</c:v>
                </c:pt>
                <c:pt idx="7">
                  <c:v>10274</c:v>
                </c:pt>
                <c:pt idx="8">
                  <c:v>11558.25</c:v>
                </c:pt>
                <c:pt idx="9">
                  <c:v>12842.5</c:v>
                </c:pt>
                <c:pt idx="10">
                  <c:v>14126.75</c:v>
                </c:pt>
                <c:pt idx="11">
                  <c:v>15411</c:v>
                </c:pt>
                <c:pt idx="12">
                  <c:v>16695.25</c:v>
                </c:pt>
                <c:pt idx="13">
                  <c:v>17979.5</c:v>
                </c:pt>
                <c:pt idx="14">
                  <c:v>19263.75</c:v>
                </c:pt>
                <c:pt idx="15">
                  <c:v>20548</c:v>
                </c:pt>
                <c:pt idx="16">
                  <c:v>21832.25</c:v>
                </c:pt>
                <c:pt idx="17">
                  <c:v>23116.5</c:v>
                </c:pt>
                <c:pt idx="18">
                  <c:v>24400.75</c:v>
                </c:pt>
                <c:pt idx="19">
                  <c:v>25685</c:v>
                </c:pt>
                <c:pt idx="20">
                  <c:v>26969.25</c:v>
                </c:pt>
              </c:numCache>
            </c:numRef>
          </c:val>
          <c:extLst>
            <c:ext xmlns:c16="http://schemas.microsoft.com/office/drawing/2014/chart" uri="{C3380CC4-5D6E-409C-BE32-E72D297353CC}">
              <c16:uniqueId val="{00000001-7B8E-4ABB-9B4C-50DABE8803F1}"/>
            </c:ext>
          </c:extLst>
        </c:ser>
        <c:ser>
          <c:idx val="2"/>
          <c:order val="2"/>
          <c:tx>
            <c:strRef>
              <c:f>Hennep!$D$4</c:f>
              <c:strCache>
                <c:ptCount val="1"/>
                <c:pt idx="0">
                  <c:v>Saldo met 
credits </c:v>
                </c:pt>
              </c:strCache>
            </c:strRef>
          </c:tx>
          <c:spPr>
            <a:solidFill>
              <a:schemeClr val="accent6"/>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Hennep!$D$5:$D$25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7B8E-4ABB-9B4C-50DABE8803F1}"/>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30421385016073749"/>
          <c:y val="0.44706815348374074"/>
          <c:w val="0.25401394956173196"/>
          <c:h val="6.168432073788469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Saldo </a:t>
            </a:r>
            <a:r>
              <a:rPr lang="nl-NL" sz="1400" b="1" i="0" u="none" strike="noStrike" baseline="0">
                <a:effectLst/>
              </a:rPr>
              <a:t>netto cummulatief saldo </a:t>
            </a:r>
          </a:p>
          <a:p>
            <a:pPr>
              <a:defRPr/>
            </a:pPr>
            <a:r>
              <a:rPr lang="nl-NL" sz="1400" b="0" i="0" u="none" strike="noStrike" baseline="0">
                <a:effectLst/>
              </a:rPr>
              <a:t>meerjarige teelt vs. rotatieteelt </a:t>
            </a:r>
            <a:r>
              <a:rPr lang="nl-NL" sz="1400" b="0" i="0" u="none" strike="noStrike" baseline="0"/>
              <a:t> </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770819099509851"/>
          <c:y val="0.25635853369325962"/>
          <c:w val="0.78784733158355202"/>
          <c:h val="0.67150335374744818"/>
        </c:manualLayout>
      </c:layout>
      <c:barChart>
        <c:barDir val="col"/>
        <c:grouping val="clustered"/>
        <c:varyColors val="0"/>
        <c:ser>
          <c:idx val="0"/>
          <c:order val="0"/>
          <c:tx>
            <c:strRef>
              <c:f>Hennep!$B$4</c:f>
              <c:strCache>
                <c:ptCount val="1"/>
                <c:pt idx="0">
                  <c:v>vergelijkende
 teelt</c:v>
                </c:pt>
              </c:strCache>
            </c:strRef>
          </c:tx>
          <c:spPr>
            <a:solidFill>
              <a:srgbClr val="FF0000"/>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Hennep!$B$5:$B$25</c:f>
              <c:numCache>
                <c:formatCode>_("€"\ * #,##0.00_);_("€"\ * \(#,##0.00\);_("€"\ * "-"??_);_(@_)</c:formatCode>
                <c:ptCount val="21"/>
                <c:pt idx="0">
                  <c:v>1552</c:v>
                </c:pt>
                <c:pt idx="1">
                  <c:v>3104</c:v>
                </c:pt>
                <c:pt idx="2">
                  <c:v>4656</c:v>
                </c:pt>
                <c:pt idx="3">
                  <c:v>6208</c:v>
                </c:pt>
                <c:pt idx="4">
                  <c:v>7760</c:v>
                </c:pt>
                <c:pt idx="5">
                  <c:v>9312</c:v>
                </c:pt>
                <c:pt idx="6">
                  <c:v>10864</c:v>
                </c:pt>
                <c:pt idx="7">
                  <c:v>12416</c:v>
                </c:pt>
                <c:pt idx="8">
                  <c:v>13968</c:v>
                </c:pt>
                <c:pt idx="9">
                  <c:v>15520</c:v>
                </c:pt>
                <c:pt idx="10">
                  <c:v>17072</c:v>
                </c:pt>
                <c:pt idx="11">
                  <c:v>18624</c:v>
                </c:pt>
                <c:pt idx="12">
                  <c:v>20176</c:v>
                </c:pt>
                <c:pt idx="13">
                  <c:v>21728</c:v>
                </c:pt>
                <c:pt idx="14">
                  <c:v>23280</c:v>
                </c:pt>
                <c:pt idx="15">
                  <c:v>24832</c:v>
                </c:pt>
                <c:pt idx="16">
                  <c:v>26384</c:v>
                </c:pt>
                <c:pt idx="17">
                  <c:v>27936</c:v>
                </c:pt>
                <c:pt idx="18">
                  <c:v>29488</c:v>
                </c:pt>
                <c:pt idx="19">
                  <c:v>31040</c:v>
                </c:pt>
                <c:pt idx="20">
                  <c:v>32592</c:v>
                </c:pt>
              </c:numCache>
            </c:numRef>
          </c:val>
          <c:extLst>
            <c:ext xmlns:c16="http://schemas.microsoft.com/office/drawing/2014/chart" uri="{C3380CC4-5D6E-409C-BE32-E72D297353CC}">
              <c16:uniqueId val="{00000000-75A5-4EEF-B71B-4B990CF928E0}"/>
            </c:ext>
          </c:extLst>
        </c:ser>
        <c:ser>
          <c:idx val="1"/>
          <c:order val="1"/>
          <c:tx>
            <c:strRef>
              <c:f>Hennep!$C$4</c:f>
              <c:strCache>
                <c:ptCount val="1"/>
                <c:pt idx="0">
                  <c:v>Saldo zonder
 credits</c:v>
                </c:pt>
              </c:strCache>
            </c:strRef>
          </c:tx>
          <c:spPr>
            <a:solidFill>
              <a:schemeClr val="accent4">
                <a:lumMod val="60000"/>
                <a:lumOff val="40000"/>
              </a:schemeClr>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Hennep!$C$5:$C$25</c:f>
              <c:numCache>
                <c:formatCode>_("€"\ * #,##0.00_);_("€"\ * \(#,##0.00\);_("€"\ * "-"??_);_(@_)</c:formatCode>
                <c:ptCount val="21"/>
                <c:pt idx="0">
                  <c:v>1284.25</c:v>
                </c:pt>
                <c:pt idx="1">
                  <c:v>2568.5</c:v>
                </c:pt>
                <c:pt idx="2">
                  <c:v>3852.75</c:v>
                </c:pt>
                <c:pt idx="3">
                  <c:v>5137</c:v>
                </c:pt>
                <c:pt idx="4">
                  <c:v>6421.25</c:v>
                </c:pt>
                <c:pt idx="5">
                  <c:v>7705.5</c:v>
                </c:pt>
                <c:pt idx="6">
                  <c:v>8989.75</c:v>
                </c:pt>
                <c:pt idx="7">
                  <c:v>10274</c:v>
                </c:pt>
                <c:pt idx="8">
                  <c:v>11558.25</c:v>
                </c:pt>
                <c:pt idx="9">
                  <c:v>12842.5</c:v>
                </c:pt>
                <c:pt idx="10">
                  <c:v>14126.75</c:v>
                </c:pt>
                <c:pt idx="11">
                  <c:v>15411</c:v>
                </c:pt>
                <c:pt idx="12">
                  <c:v>16695.25</c:v>
                </c:pt>
                <c:pt idx="13">
                  <c:v>17979.5</c:v>
                </c:pt>
                <c:pt idx="14">
                  <c:v>19263.75</c:v>
                </c:pt>
                <c:pt idx="15">
                  <c:v>20548</c:v>
                </c:pt>
                <c:pt idx="16">
                  <c:v>21832.25</c:v>
                </c:pt>
                <c:pt idx="17">
                  <c:v>23116.5</c:v>
                </c:pt>
                <c:pt idx="18">
                  <c:v>24400.75</c:v>
                </c:pt>
                <c:pt idx="19">
                  <c:v>25685</c:v>
                </c:pt>
                <c:pt idx="20">
                  <c:v>26969.25</c:v>
                </c:pt>
              </c:numCache>
            </c:numRef>
          </c:val>
          <c:extLst>
            <c:ext xmlns:c16="http://schemas.microsoft.com/office/drawing/2014/chart" uri="{C3380CC4-5D6E-409C-BE32-E72D297353CC}">
              <c16:uniqueId val="{00000001-75A5-4EEF-B71B-4B990CF928E0}"/>
            </c:ext>
          </c:extLst>
        </c:ser>
        <c:ser>
          <c:idx val="2"/>
          <c:order val="2"/>
          <c:tx>
            <c:strRef>
              <c:f>Hennep!$D$4</c:f>
              <c:strCache>
                <c:ptCount val="1"/>
                <c:pt idx="0">
                  <c:v>Saldo met 
credits </c:v>
                </c:pt>
              </c:strCache>
            </c:strRef>
          </c:tx>
          <c:spPr>
            <a:solidFill>
              <a:schemeClr val="accent6"/>
            </a:solidFill>
            <a:ln>
              <a:noFill/>
            </a:ln>
            <a:effectLst/>
          </c:spPr>
          <c:invertIfNegative val="0"/>
          <c:cat>
            <c:numRef>
              <c:f>Hennep!$A$5:$A$25</c:f>
              <c:numCache>
                <c:formatCode>General</c:formatCode>
                <c:ptCount val="2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numCache>
            </c:numRef>
          </c:cat>
          <c:val>
            <c:numRef>
              <c:f>Hennep!$D$5:$D$25</c:f>
              <c:numCache>
                <c:formatCode>_("€"\ * #,##0.00_);_("€"\ * \(#,##0.00\);_("€"\ * "-"??_);_(@_)</c:formatCode>
                <c:ptCount val="21"/>
                <c:pt idx="0">
                  <c:v>1778.1699999999998</c:v>
                </c:pt>
                <c:pt idx="1">
                  <c:v>3556.3399999999997</c:v>
                </c:pt>
                <c:pt idx="2">
                  <c:v>5334.5099999999993</c:v>
                </c:pt>
                <c:pt idx="3">
                  <c:v>7112.6799999999994</c:v>
                </c:pt>
                <c:pt idx="4">
                  <c:v>8890.8499999999985</c:v>
                </c:pt>
                <c:pt idx="5">
                  <c:v>10669.019999999999</c:v>
                </c:pt>
                <c:pt idx="6">
                  <c:v>12447.189999999999</c:v>
                </c:pt>
                <c:pt idx="7">
                  <c:v>14225.359999999999</c:v>
                </c:pt>
                <c:pt idx="8">
                  <c:v>16003.529999999999</c:v>
                </c:pt>
                <c:pt idx="9">
                  <c:v>17781.699999999997</c:v>
                </c:pt>
                <c:pt idx="10">
                  <c:v>19559.869999999995</c:v>
                </c:pt>
                <c:pt idx="11">
                  <c:v>21338.039999999994</c:v>
                </c:pt>
                <c:pt idx="12">
                  <c:v>23116.209999999992</c:v>
                </c:pt>
                <c:pt idx="13">
                  <c:v>24894.37999999999</c:v>
                </c:pt>
                <c:pt idx="14">
                  <c:v>26672.549999999988</c:v>
                </c:pt>
                <c:pt idx="15">
                  <c:v>28450.719999999987</c:v>
                </c:pt>
                <c:pt idx="16">
                  <c:v>30228.889999999985</c:v>
                </c:pt>
                <c:pt idx="17">
                  <c:v>32007.059999999983</c:v>
                </c:pt>
                <c:pt idx="18">
                  <c:v>33785.229999999981</c:v>
                </c:pt>
                <c:pt idx="19">
                  <c:v>35563.39999999998</c:v>
                </c:pt>
                <c:pt idx="20">
                  <c:v>37341.569999999978</c:v>
                </c:pt>
              </c:numCache>
            </c:numRef>
          </c:val>
          <c:extLst>
            <c:ext xmlns:c16="http://schemas.microsoft.com/office/drawing/2014/chart" uri="{C3380CC4-5D6E-409C-BE32-E72D297353CC}">
              <c16:uniqueId val="{00000002-75A5-4EEF-B71B-4B990CF928E0}"/>
            </c:ext>
          </c:extLst>
        </c:ser>
        <c:dLbls>
          <c:showLegendKey val="0"/>
          <c:showVal val="0"/>
          <c:showCatName val="0"/>
          <c:showSerName val="0"/>
          <c:showPercent val="0"/>
          <c:showBubbleSize val="0"/>
        </c:dLbls>
        <c:gapWidth val="219"/>
        <c:overlap val="-27"/>
        <c:axId val="140792800"/>
        <c:axId val="425409312"/>
      </c:barChart>
      <c:catAx>
        <c:axId val="14079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409312"/>
        <c:crossesAt val="0"/>
        <c:auto val="1"/>
        <c:lblAlgn val="ctr"/>
        <c:lblOffset val="100"/>
        <c:noMultiLvlLbl val="0"/>
      </c:catAx>
      <c:valAx>
        <c:axId val="4254093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00_);_(&quot;€&quot;\ * \(#,##0.0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792800"/>
        <c:crosses val="autoZero"/>
        <c:crossBetween val="between"/>
        <c:majorUnit val="5000"/>
      </c:valAx>
      <c:spPr>
        <a:noFill/>
        <a:ln>
          <a:noFill/>
        </a:ln>
        <a:effectLst/>
      </c:spPr>
    </c:plotArea>
    <c:legend>
      <c:legendPos val="b"/>
      <c:layout>
        <c:manualLayout>
          <c:xMode val="edge"/>
          <c:yMode val="edge"/>
          <c:x val="0.30421385016073749"/>
          <c:y val="0.44706815348374074"/>
          <c:w val="0.25401394956173196"/>
          <c:h val="6.168432073788469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J$7" lockText="1" noThreeD="1"/>
</file>

<file path=xl/ctrlProps/ctrlProp2.xml><?xml version="1.0" encoding="utf-8"?>
<formControlPr xmlns="http://schemas.microsoft.com/office/spreadsheetml/2009/9/main" objectType="CheckBox" fmlaLink="$J$8" lockText="1" noThreeD="1"/>
</file>

<file path=xl/ctrlProps/ctrlProp3.xml><?xml version="1.0" encoding="utf-8"?>
<formControlPr xmlns="http://schemas.microsoft.com/office/spreadsheetml/2009/9/main" objectType="CheckBox" checked="Checked" fmlaLink="$J$9"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7</xdr:col>
      <xdr:colOff>233045</xdr:colOff>
      <xdr:row>0</xdr:row>
      <xdr:rowOff>0</xdr:rowOff>
    </xdr:from>
    <xdr:to>
      <xdr:col>14</xdr:col>
      <xdr:colOff>20964</xdr:colOff>
      <xdr:row>1</xdr:row>
      <xdr:rowOff>964066</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5974" y="0"/>
          <a:ext cx="4108186" cy="1351870"/>
        </a:xfrm>
        <a:prstGeom prst="rect">
          <a:avLst/>
        </a:prstGeom>
      </xdr:spPr>
    </xdr:pic>
    <xdr:clientData/>
  </xdr:twoCellAnchor>
  <xdr:twoCellAnchor>
    <xdr:from>
      <xdr:col>13</xdr:col>
      <xdr:colOff>87924</xdr:colOff>
      <xdr:row>11</xdr:row>
      <xdr:rowOff>7327</xdr:rowOff>
    </xdr:from>
    <xdr:to>
      <xdr:col>26</xdr:col>
      <xdr:colOff>351693</xdr:colOff>
      <xdr:row>38</xdr:row>
      <xdr:rowOff>190500</xdr:rowOff>
    </xdr:to>
    <xdr:graphicFrame macro="">
      <xdr:nvGraphicFramePr>
        <xdr:cNvPr id="2" name="Grafiek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518160</xdr:colOff>
          <xdr:row>6</xdr:row>
          <xdr:rowOff>0</xdr:rowOff>
        </xdr:from>
        <xdr:to>
          <xdr:col>2</xdr:col>
          <xdr:colOff>800100</xdr:colOff>
          <xdr:row>7</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0</xdr:rowOff>
        </xdr:from>
        <xdr:to>
          <xdr:col>3</xdr:col>
          <xdr:colOff>114300</xdr:colOff>
          <xdr:row>8</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198120</xdr:rowOff>
        </xdr:from>
        <xdr:to>
          <xdr:col>2</xdr:col>
          <xdr:colOff>769620</xdr:colOff>
          <xdr:row>9</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17462</xdr:rowOff>
    </xdr:from>
    <xdr:to>
      <xdr:col>25</xdr:col>
      <xdr:colOff>17318</xdr:colOff>
      <xdr:row>56</xdr:row>
      <xdr:rowOff>190500</xdr:rowOff>
    </xdr:to>
    <xdr:graphicFrame macro="">
      <xdr:nvGraphicFramePr>
        <xdr:cNvPr id="2" name="Grafiek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353785</xdr:colOff>
      <xdr:row>26</xdr:row>
      <xdr:rowOff>188913</xdr:rowOff>
    </xdr:from>
    <xdr:to>
      <xdr:col>25</xdr:col>
      <xdr:colOff>13606</xdr:colOff>
      <xdr:row>55</xdr:row>
      <xdr:rowOff>104776</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27</xdr:row>
      <xdr:rowOff>30162</xdr:rowOff>
    </xdr:from>
    <xdr:to>
      <xdr:col>25</xdr:col>
      <xdr:colOff>27215</xdr:colOff>
      <xdr:row>55</xdr:row>
      <xdr:rowOff>57150</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27</xdr:row>
      <xdr:rowOff>30162</xdr:rowOff>
    </xdr:from>
    <xdr:to>
      <xdr:col>25</xdr:col>
      <xdr:colOff>27215</xdr:colOff>
      <xdr:row>55</xdr:row>
      <xdr:rowOff>57150</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27</xdr:row>
      <xdr:rowOff>30162</xdr:rowOff>
    </xdr:from>
    <xdr:to>
      <xdr:col>25</xdr:col>
      <xdr:colOff>27215</xdr:colOff>
      <xdr:row>55</xdr:row>
      <xdr:rowOff>57150</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27</xdr:row>
      <xdr:rowOff>30162</xdr:rowOff>
    </xdr:from>
    <xdr:to>
      <xdr:col>25</xdr:col>
      <xdr:colOff>27215</xdr:colOff>
      <xdr:row>55</xdr:row>
      <xdr:rowOff>57150</xdr:rowOff>
    </xdr:to>
    <xdr:graphicFrame macro="">
      <xdr:nvGraphicFramePr>
        <xdr:cNvPr id="2" name="Grafiek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27</xdr:row>
      <xdr:rowOff>30162</xdr:rowOff>
    </xdr:from>
    <xdr:to>
      <xdr:col>26</xdr:col>
      <xdr:colOff>27215</xdr:colOff>
      <xdr:row>55</xdr:row>
      <xdr:rowOff>57150</xdr:rowOff>
    </xdr:to>
    <xdr:graphicFrame macro="">
      <xdr:nvGraphicFramePr>
        <xdr:cNvPr id="2" name="Grafiek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5665C-0CC6-D148-AA26-F222867BF747}">
  <sheetPr codeName="Blad1">
    <pageSetUpPr fitToPage="1"/>
  </sheetPr>
  <dimension ref="B1:AQ74"/>
  <sheetViews>
    <sheetView tabSelected="1" zoomScale="140" zoomScaleNormal="140" workbookViewId="0">
      <selection activeCell="Q5" sqref="Q5"/>
    </sheetView>
  </sheetViews>
  <sheetFormatPr defaultColWidth="11" defaultRowHeight="15.6" x14ac:dyDescent="0.3"/>
  <cols>
    <col min="1" max="1" width="3.3984375" style="23" customWidth="1"/>
    <col min="2" max="6" width="16.3984375" style="23" customWidth="1"/>
    <col min="7" max="8" width="8.09765625" style="23" customWidth="1"/>
    <col min="9" max="9" width="15.5" style="23" customWidth="1"/>
    <col min="10" max="10" width="16.5" style="23" hidden="1" customWidth="1"/>
    <col min="11" max="12" width="7.69921875" style="23" customWidth="1"/>
    <col min="13" max="13" width="15.3984375" style="23" customWidth="1"/>
    <col min="14" max="14" width="2.09765625" style="23" customWidth="1"/>
    <col min="15" max="16384" width="11" style="23"/>
  </cols>
  <sheetData>
    <row r="1" spans="2:43" ht="31.2" x14ac:dyDescent="0.6">
      <c r="B1" s="269" t="s">
        <v>0</v>
      </c>
      <c r="C1" s="269"/>
      <c r="D1" s="269"/>
      <c r="E1" s="269"/>
      <c r="F1" s="269"/>
      <c r="G1" s="269"/>
      <c r="H1" s="269"/>
      <c r="I1" s="269"/>
      <c r="J1" s="111"/>
      <c r="K1" s="111"/>
      <c r="L1" s="111"/>
      <c r="M1" s="203"/>
    </row>
    <row r="2" spans="2:43" ht="82.5" customHeight="1" x14ac:dyDescent="0.6">
      <c r="B2" s="270"/>
      <c r="C2" s="270"/>
      <c r="D2" s="270"/>
      <c r="E2" s="270"/>
      <c r="F2" s="270"/>
      <c r="G2" s="270"/>
      <c r="H2" s="270"/>
      <c r="I2" s="270"/>
      <c r="J2" s="111"/>
      <c r="K2" s="111"/>
      <c r="L2" s="111"/>
      <c r="M2" s="111"/>
    </row>
    <row r="3" spans="2:43" ht="15" customHeight="1" x14ac:dyDescent="0.6">
      <c r="B3" s="111"/>
      <c r="C3" s="111"/>
      <c r="J3" s="111"/>
      <c r="K3" s="111"/>
      <c r="L3" s="111"/>
      <c r="M3" s="204" t="s">
        <v>187</v>
      </c>
    </row>
    <row r="4" spans="2:43" ht="15" customHeight="1" x14ac:dyDescent="0.6">
      <c r="B4" s="111"/>
      <c r="C4" s="111"/>
      <c r="D4" s="169"/>
      <c r="J4" s="111"/>
      <c r="K4" s="111"/>
      <c r="L4" s="111"/>
      <c r="M4" s="111"/>
    </row>
    <row r="5" spans="2:43" ht="14.25" customHeight="1" x14ac:dyDescent="0.3">
      <c r="B5" s="230" t="s">
        <v>1</v>
      </c>
      <c r="C5" s="230"/>
      <c r="D5" s="228" t="s">
        <v>2</v>
      </c>
      <c r="E5" s="228"/>
      <c r="F5" s="228"/>
      <c r="G5" s="228"/>
      <c r="H5" s="228"/>
      <c r="I5" s="229"/>
      <c r="J5" s="146"/>
      <c r="K5" s="207" t="s">
        <v>175</v>
      </c>
      <c r="L5" s="207"/>
      <c r="M5" s="207"/>
    </row>
    <row r="6" spans="2:43" ht="14.4" customHeight="1" x14ac:dyDescent="0.3">
      <c r="B6" s="150"/>
      <c r="C6" s="151" t="s">
        <v>3</v>
      </c>
      <c r="D6" s="152" t="s">
        <v>4</v>
      </c>
      <c r="E6" s="152" t="s">
        <v>5</v>
      </c>
      <c r="F6" s="152" t="s">
        <v>178</v>
      </c>
      <c r="G6" s="284" t="s">
        <v>177</v>
      </c>
      <c r="H6" s="229"/>
      <c r="I6" s="152" t="s">
        <v>6</v>
      </c>
      <c r="J6" s="145"/>
      <c r="K6" s="207" t="s">
        <v>176</v>
      </c>
      <c r="L6" s="207"/>
      <c r="M6" s="200" t="s">
        <v>185</v>
      </c>
    </row>
    <row r="7" spans="2:43" ht="14.4" customHeight="1" x14ac:dyDescent="0.3">
      <c r="B7" s="153" t="s">
        <v>7</v>
      </c>
      <c r="C7" s="153"/>
      <c r="D7" s="167">
        <v>0</v>
      </c>
      <c r="E7" s="167">
        <v>0</v>
      </c>
      <c r="F7" s="170">
        <v>220</v>
      </c>
      <c r="G7" s="172" t="s">
        <v>181</v>
      </c>
      <c r="H7" s="199">
        <f>IF(G7="geen eco-dienst",0,(IF(G7="brons",60,(IF(G7="zilver",100,(IF(G7="goud",200)))))))</f>
        <v>0</v>
      </c>
      <c r="I7" s="168">
        <v>0</v>
      </c>
      <c r="J7" s="143" t="b">
        <v>0</v>
      </c>
      <c r="K7" s="210">
        <v>0</v>
      </c>
      <c r="L7" s="211"/>
      <c r="M7" s="219">
        <v>0</v>
      </c>
    </row>
    <row r="8" spans="2:43" ht="14.4" customHeight="1" x14ac:dyDescent="0.3">
      <c r="B8" s="153" t="s">
        <v>8</v>
      </c>
      <c r="C8" s="153"/>
      <c r="D8" s="170">
        <v>30</v>
      </c>
      <c r="E8" s="170">
        <v>30</v>
      </c>
      <c r="F8" s="170">
        <f>220+54</f>
        <v>274</v>
      </c>
      <c r="G8" s="172" t="s">
        <v>184</v>
      </c>
      <c r="H8" s="199">
        <f t="shared" ref="H8:H9" si="0">IF(G8="geen eco-dienst",0,(IF(G8="brons",60,(IF(G8="zilver",100,(IF(G8="goud",200)))))))</f>
        <v>100</v>
      </c>
      <c r="I8" s="168">
        <v>0.5</v>
      </c>
      <c r="J8" s="143" t="b">
        <v>0</v>
      </c>
      <c r="K8" s="212"/>
      <c r="L8" s="213"/>
      <c r="M8" s="220"/>
    </row>
    <row r="9" spans="2:43" ht="14.4" customHeight="1" x14ac:dyDescent="0.3">
      <c r="B9" s="153" t="s">
        <v>9</v>
      </c>
      <c r="C9" s="153"/>
      <c r="D9" s="170">
        <v>70</v>
      </c>
      <c r="E9" s="170">
        <v>70</v>
      </c>
      <c r="F9" s="170">
        <f>220+54</f>
        <v>274</v>
      </c>
      <c r="G9" s="172" t="s">
        <v>182</v>
      </c>
      <c r="H9" s="199">
        <f t="shared" si="0"/>
        <v>200</v>
      </c>
      <c r="I9" s="168">
        <v>0.8</v>
      </c>
      <c r="J9" s="143" t="b">
        <v>1</v>
      </c>
      <c r="K9" s="214"/>
      <c r="L9" s="215"/>
      <c r="M9" s="221"/>
    </row>
    <row r="10" spans="2:43" ht="14.4" customHeight="1" x14ac:dyDescent="0.6">
      <c r="B10" s="111"/>
      <c r="C10" s="111"/>
      <c r="D10" s="222" t="s">
        <v>10</v>
      </c>
      <c r="E10" s="223"/>
      <c r="F10" s="223"/>
      <c r="G10" s="223"/>
      <c r="H10" s="223"/>
      <c r="I10" s="224"/>
      <c r="J10" s="111"/>
      <c r="K10" s="216" t="s">
        <v>186</v>
      </c>
      <c r="L10" s="217"/>
      <c r="M10" s="218"/>
    </row>
    <row r="11" spans="2:43" ht="14.4" customHeight="1" x14ac:dyDescent="0.3">
      <c r="B11" s="158" t="s">
        <v>11</v>
      </c>
      <c r="C11" s="159"/>
      <c r="D11" s="160"/>
      <c r="E11" s="160"/>
      <c r="F11" s="160"/>
      <c r="G11" s="160"/>
      <c r="H11" s="160"/>
      <c r="I11" s="160"/>
      <c r="J11" s="160"/>
      <c r="K11" s="196"/>
      <c r="L11" s="196"/>
      <c r="M11" s="197"/>
    </row>
    <row r="12" spans="2:43" ht="14.4" customHeight="1" thickBot="1" x14ac:dyDescent="0.35">
      <c r="B12" s="206"/>
      <c r="C12" s="202" t="s">
        <v>12</v>
      </c>
      <c r="D12" s="161" t="s">
        <v>13</v>
      </c>
      <c r="E12" s="162" t="s">
        <v>14</v>
      </c>
      <c r="F12" s="163" t="s">
        <v>15</v>
      </c>
      <c r="G12" s="259" t="str">
        <f>G16</f>
        <v>Graan</v>
      </c>
      <c r="H12" s="260"/>
      <c r="I12" s="164" t="str">
        <f>I16</f>
        <v>Mais</v>
      </c>
      <c r="J12" s="165"/>
      <c r="K12" s="285" t="str">
        <f>K16</f>
        <v>Sorghum</v>
      </c>
      <c r="L12" s="286"/>
      <c r="M12" s="166" t="s">
        <v>16</v>
      </c>
    </row>
    <row r="13" spans="2:43" ht="14.4" customHeight="1" x14ac:dyDescent="0.3">
      <c r="B13" s="205"/>
      <c r="C13" s="201" t="s">
        <v>17</v>
      </c>
      <c r="D13" s="154">
        <f>Miscanthus!K26</f>
        <v>5088.1666666666661</v>
      </c>
      <c r="E13" s="154">
        <f>Zonnekroon!K26</f>
        <v>2199.9666666666667</v>
      </c>
      <c r="F13" s="155">
        <f>Hennep!K26</f>
        <v>1778.1699999999989</v>
      </c>
      <c r="G13" s="253">
        <f>Graan!K26</f>
        <v>1263.0999999999997</v>
      </c>
      <c r="H13" s="254"/>
      <c r="I13" s="155">
        <f>Mais!K26</f>
        <v>1552</v>
      </c>
      <c r="J13" s="156"/>
      <c r="K13" s="253">
        <f>Sorghum!K26</f>
        <v>1872.1999999999998</v>
      </c>
      <c r="L13" s="254"/>
      <c r="M13" s="157">
        <f>Bamboe!K26</f>
        <v>4991.1822930604758</v>
      </c>
    </row>
    <row r="14" spans="2:43" ht="14.4" customHeight="1" x14ac:dyDescent="0.6">
      <c r="B14" s="111"/>
      <c r="C14" s="111"/>
      <c r="D14" s="111"/>
      <c r="E14" s="111"/>
      <c r="F14" s="111"/>
      <c r="G14" s="111"/>
      <c r="H14" s="111"/>
      <c r="I14" s="111"/>
      <c r="J14" s="111"/>
      <c r="K14" s="111"/>
      <c r="L14" s="111"/>
      <c r="M14" s="111"/>
    </row>
    <row r="15" spans="2:43" x14ac:dyDescent="0.3">
      <c r="B15" s="24" t="s">
        <v>18</v>
      </c>
      <c r="D15" s="225" t="s">
        <v>19</v>
      </c>
      <c r="E15" s="226"/>
      <c r="F15" s="226"/>
      <c r="G15" s="226"/>
      <c r="H15" s="226"/>
      <c r="I15" s="226"/>
      <c r="J15" s="226"/>
      <c r="K15" s="226"/>
      <c r="L15" s="226"/>
      <c r="M15" s="227"/>
      <c r="AN15" s="23" t="s">
        <v>20</v>
      </c>
      <c r="AP15" s="23" t="s">
        <v>181</v>
      </c>
    </row>
    <row r="16" spans="2:43" ht="25.5" customHeight="1" x14ac:dyDescent="0.3">
      <c r="B16" s="271"/>
      <c r="C16" s="272"/>
      <c r="D16" s="183" t="s">
        <v>21</v>
      </c>
      <c r="E16" s="183" t="s">
        <v>22</v>
      </c>
      <c r="F16" s="183" t="s">
        <v>23</v>
      </c>
      <c r="G16" s="278" t="s">
        <v>24</v>
      </c>
      <c r="H16" s="281"/>
      <c r="I16" s="184" t="s">
        <v>25</v>
      </c>
      <c r="J16" s="185"/>
      <c r="K16" s="278" t="s">
        <v>26</v>
      </c>
      <c r="L16" s="279"/>
      <c r="M16" s="184" t="s">
        <v>27</v>
      </c>
      <c r="AN16" s="23" t="s">
        <v>28</v>
      </c>
      <c r="AP16" s="23" t="s">
        <v>180</v>
      </c>
      <c r="AQ16" s="198">
        <v>60</v>
      </c>
    </row>
    <row r="17" spans="2:43" ht="31.5" customHeight="1" x14ac:dyDescent="0.3">
      <c r="B17" s="273"/>
      <c r="C17" s="274"/>
      <c r="D17" s="186" t="s">
        <v>29</v>
      </c>
      <c r="E17" s="186" t="s">
        <v>30</v>
      </c>
      <c r="F17" s="186" t="s">
        <v>31</v>
      </c>
      <c r="G17" s="187" t="s">
        <v>32</v>
      </c>
      <c r="H17" s="188" t="s">
        <v>33</v>
      </c>
      <c r="I17" s="189" t="s">
        <v>34</v>
      </c>
      <c r="J17" s="190"/>
      <c r="K17" s="187" t="s">
        <v>35</v>
      </c>
      <c r="L17" s="188" t="s">
        <v>36</v>
      </c>
      <c r="M17" s="191" t="s">
        <v>37</v>
      </c>
      <c r="AP17" s="23" t="s">
        <v>184</v>
      </c>
      <c r="AQ17" s="198">
        <v>100</v>
      </c>
    </row>
    <row r="18" spans="2:43" x14ac:dyDescent="0.3">
      <c r="B18" s="280" t="s">
        <v>38</v>
      </c>
      <c r="C18" s="280"/>
      <c r="D18" s="173">
        <v>0</v>
      </c>
      <c r="E18" s="173">
        <v>0</v>
      </c>
      <c r="F18" s="173">
        <v>9</v>
      </c>
      <c r="G18" s="173">
        <v>4</v>
      </c>
      <c r="H18" s="173">
        <v>8</v>
      </c>
      <c r="I18" s="173">
        <v>13</v>
      </c>
      <c r="J18" s="173"/>
      <c r="K18" s="173">
        <v>7</v>
      </c>
      <c r="L18" s="173">
        <v>6</v>
      </c>
      <c r="M18" s="173">
        <v>0</v>
      </c>
      <c r="AP18" s="23" t="s">
        <v>182</v>
      </c>
      <c r="AQ18" s="198">
        <v>200</v>
      </c>
    </row>
    <row r="19" spans="2:43" x14ac:dyDescent="0.3">
      <c r="B19" s="280" t="s">
        <v>39</v>
      </c>
      <c r="C19" s="280"/>
      <c r="D19" s="173">
        <v>9</v>
      </c>
      <c r="E19" s="173">
        <v>6</v>
      </c>
      <c r="F19" s="173">
        <v>9</v>
      </c>
      <c r="G19" s="173">
        <v>4</v>
      </c>
      <c r="H19" s="173">
        <v>8</v>
      </c>
      <c r="I19" s="173">
        <v>13</v>
      </c>
      <c r="J19" s="173"/>
      <c r="K19" s="173">
        <v>7</v>
      </c>
      <c r="L19" s="173">
        <v>6</v>
      </c>
      <c r="M19" s="173">
        <v>0</v>
      </c>
    </row>
    <row r="20" spans="2:43" x14ac:dyDescent="0.3">
      <c r="B20" s="280" t="s">
        <v>40</v>
      </c>
      <c r="C20" s="280"/>
      <c r="D20" s="173">
        <v>12</v>
      </c>
      <c r="E20" s="173">
        <v>16</v>
      </c>
      <c r="F20" s="173">
        <v>9</v>
      </c>
      <c r="G20" s="173">
        <v>4</v>
      </c>
      <c r="H20" s="173">
        <v>8</v>
      </c>
      <c r="I20" s="173">
        <v>13</v>
      </c>
      <c r="J20" s="173"/>
      <c r="K20" s="173">
        <v>7</v>
      </c>
      <c r="L20" s="173">
        <v>6</v>
      </c>
      <c r="M20" s="173">
        <v>0</v>
      </c>
    </row>
    <row r="21" spans="2:43" ht="15.75" customHeight="1" x14ac:dyDescent="0.3">
      <c r="B21" s="280" t="s">
        <v>41</v>
      </c>
      <c r="C21" s="280"/>
      <c r="D21" s="173">
        <v>18</v>
      </c>
      <c r="E21" s="173">
        <v>16</v>
      </c>
      <c r="F21" s="173">
        <v>9</v>
      </c>
      <c r="G21" s="173">
        <v>4</v>
      </c>
      <c r="H21" s="173">
        <v>8</v>
      </c>
      <c r="I21" s="173">
        <v>13</v>
      </c>
      <c r="J21" s="173"/>
      <c r="K21" s="173">
        <v>7</v>
      </c>
      <c r="L21" s="173">
        <v>6</v>
      </c>
      <c r="M21" s="173">
        <v>1.5</v>
      </c>
      <c r="O21" s="257"/>
      <c r="P21" s="257"/>
    </row>
    <row r="22" spans="2:43" ht="15.75" customHeight="1" x14ac:dyDescent="0.3">
      <c r="B22" s="239" t="s">
        <v>42</v>
      </c>
      <c r="C22" s="240"/>
      <c r="D22" s="144" t="s">
        <v>28</v>
      </c>
      <c r="E22" s="144" t="s">
        <v>20</v>
      </c>
      <c r="F22" s="144" t="s">
        <v>20</v>
      </c>
      <c r="G22" s="261" t="s">
        <v>28</v>
      </c>
      <c r="H22" s="262"/>
      <c r="I22" s="144" t="s">
        <v>28</v>
      </c>
      <c r="J22" s="175"/>
      <c r="K22" s="255" t="s">
        <v>20</v>
      </c>
      <c r="L22" s="256"/>
      <c r="M22" s="144" t="s">
        <v>20</v>
      </c>
      <c r="N22" s="96"/>
      <c r="O22" s="257"/>
      <c r="P22" s="257"/>
    </row>
    <row r="23" spans="2:43" ht="16.2" x14ac:dyDescent="0.3">
      <c r="B23" s="280" t="s">
        <v>43</v>
      </c>
      <c r="C23" s="280"/>
      <c r="D23" s="171">
        <v>300</v>
      </c>
      <c r="E23" s="171">
        <v>140</v>
      </c>
      <c r="F23" s="171">
        <v>240</v>
      </c>
      <c r="G23" s="171">
        <v>300</v>
      </c>
      <c r="H23" s="171">
        <v>160</v>
      </c>
      <c r="I23" s="171">
        <v>190</v>
      </c>
      <c r="J23" s="171"/>
      <c r="K23" s="171">
        <v>140</v>
      </c>
      <c r="L23" s="171">
        <v>190</v>
      </c>
      <c r="M23" s="171">
        <v>80</v>
      </c>
      <c r="N23" s="69"/>
      <c r="O23" s="257"/>
      <c r="P23" s="257"/>
    </row>
    <row r="24" spans="2:43" ht="16.2" x14ac:dyDescent="0.3">
      <c r="B24" s="239" t="s">
        <v>44</v>
      </c>
      <c r="C24" s="240"/>
      <c r="D24" s="144">
        <v>60</v>
      </c>
      <c r="E24" s="144" t="s">
        <v>45</v>
      </c>
      <c r="F24" s="144" t="s">
        <v>45</v>
      </c>
      <c r="G24" s="261" t="s">
        <v>45</v>
      </c>
      <c r="H24" s="262"/>
      <c r="I24" s="176" t="s">
        <v>45</v>
      </c>
      <c r="J24" s="175"/>
      <c r="K24" s="255" t="s">
        <v>45</v>
      </c>
      <c r="L24" s="256"/>
      <c r="M24" s="176" t="s">
        <v>45</v>
      </c>
      <c r="N24" s="69"/>
      <c r="O24" s="257"/>
      <c r="P24" s="257"/>
    </row>
    <row r="25" spans="2:43" x14ac:dyDescent="0.3">
      <c r="B25" s="239" t="s">
        <v>46</v>
      </c>
      <c r="C25" s="240"/>
      <c r="D25" s="177">
        <v>0.8</v>
      </c>
      <c r="E25" s="177">
        <v>0.5</v>
      </c>
      <c r="F25" s="177">
        <v>0.7</v>
      </c>
      <c r="G25" s="263">
        <f>G18/(G18+H18)</f>
        <v>0.33333333333333331</v>
      </c>
      <c r="H25" s="264"/>
      <c r="I25" s="177">
        <v>0</v>
      </c>
      <c r="J25" s="178"/>
      <c r="K25" s="263">
        <v>0.5</v>
      </c>
      <c r="L25" s="264"/>
      <c r="M25" s="177">
        <v>0.8</v>
      </c>
      <c r="N25" s="69"/>
      <c r="O25" s="257"/>
      <c r="P25" s="257"/>
    </row>
    <row r="26" spans="2:43" ht="16.2" x14ac:dyDescent="0.3">
      <c r="B26" s="280" t="s">
        <v>47</v>
      </c>
      <c r="C26" s="280"/>
      <c r="D26" s="179">
        <f>IF($J7=TRUE,$D7,(IF($J8=TRUE,$D8,(IF($J9=TRUE,$D9)))))</f>
        <v>70</v>
      </c>
      <c r="E26" s="179">
        <f>IF($J7=TRUE,$D7,(IF($J8=TRUE,$D8,(IF($J9=TRUE,$D9)))))</f>
        <v>70</v>
      </c>
      <c r="F26" s="179">
        <f>IF($J7=TRUE,$D7,(IF($J8=TRUE,$D8,(IF($J9=TRUE,$D9)))))</f>
        <v>70</v>
      </c>
      <c r="G26" s="208">
        <f>F26</f>
        <v>70</v>
      </c>
      <c r="H26" s="209"/>
      <c r="I26" s="179" t="s">
        <v>45</v>
      </c>
      <c r="J26" s="180"/>
      <c r="K26" s="208">
        <f>F26</f>
        <v>70</v>
      </c>
      <c r="L26" s="209"/>
      <c r="M26" s="179">
        <f>IF($J7=TRUE,$D7,(IF($J8=TRUE,$D8,(IF($J9=TRUE,$D9)))))</f>
        <v>70</v>
      </c>
      <c r="O26" s="257"/>
      <c r="P26" s="257"/>
    </row>
    <row r="27" spans="2:43" x14ac:dyDescent="0.3">
      <c r="B27" s="282" t="s">
        <v>48</v>
      </c>
      <c r="C27" s="283"/>
      <c r="D27" s="149">
        <f>IF($J7=TRUE,$I7,(IF($J8=TRUE,$I8,(IF($J9=TRUE,$I9)))))</f>
        <v>0.8</v>
      </c>
      <c r="E27" s="149">
        <f>IF($J7=TRUE,$I7,(IF($J8=TRUE,$I8,(IF($J9=TRUE,$I9)))))</f>
        <v>0.8</v>
      </c>
      <c r="F27" s="149">
        <f>IF($J7=TRUE,$I7,(IF($J8=TRUE,$I8,(IF($J9=TRUE,$I9)))))</f>
        <v>0.8</v>
      </c>
      <c r="G27" s="265">
        <f t="shared" ref="G27:H27" si="1">IF($J7=TRUE,$I7,(IF($J8=TRUE,$I8,(IF($J9=TRUE,$I9)))))</f>
        <v>0.8</v>
      </c>
      <c r="H27" s="266">
        <f t="shared" si="1"/>
        <v>0.8</v>
      </c>
      <c r="I27" s="181" t="s">
        <v>45</v>
      </c>
      <c r="J27" s="182"/>
      <c r="K27" s="265">
        <f t="shared" ref="K27:L27" si="2">IF($J7=TRUE,$I7,(IF($J8=TRUE,$I8,(IF($J9=TRUE,$I9)))))</f>
        <v>0.8</v>
      </c>
      <c r="L27" s="266">
        <f t="shared" si="2"/>
        <v>0.8</v>
      </c>
      <c r="M27" s="149">
        <f>IF($J7=TRUE,$I7,(IF($J8=TRUE,$I8,(IF($J9=TRUE,$I9)))))</f>
        <v>0.8</v>
      </c>
    </row>
    <row r="28" spans="2:43" x14ac:dyDescent="0.3">
      <c r="B28" s="280" t="s">
        <v>49</v>
      </c>
      <c r="C28" s="280"/>
      <c r="D28" s="179">
        <f>IF($J7=TRUE,$E7,(IF($J8=TRUE,$E8,(IF($J9=TRUE,$E9)))))</f>
        <v>70</v>
      </c>
      <c r="E28" s="179">
        <f>IF($J7=TRUE,$E7,(IF($J8=TRUE,$E8,(IF($J9=TRUE,$E9)))))</f>
        <v>70</v>
      </c>
      <c r="F28" s="179">
        <v>0</v>
      </c>
      <c r="G28" s="208">
        <f>F28</f>
        <v>0</v>
      </c>
      <c r="H28" s="209"/>
      <c r="I28" s="179" t="s">
        <v>45</v>
      </c>
      <c r="J28" s="180"/>
      <c r="K28" s="208">
        <f>F28</f>
        <v>0</v>
      </c>
      <c r="L28" s="209"/>
      <c r="M28" s="179">
        <f>IF($J7=TRUE,$E7,(IF($J8=TRUE,$E8,(IF($J9=TRUE,$E9)))))</f>
        <v>70</v>
      </c>
    </row>
    <row r="29" spans="2:43" x14ac:dyDescent="0.3">
      <c r="B29" s="282" t="s">
        <v>48</v>
      </c>
      <c r="C29" s="283"/>
      <c r="D29" s="104">
        <v>0.7</v>
      </c>
      <c r="E29" s="104">
        <v>0.7</v>
      </c>
      <c r="F29" s="104">
        <v>0</v>
      </c>
      <c r="G29" s="267">
        <v>0</v>
      </c>
      <c r="H29" s="268"/>
      <c r="I29" s="144" t="s">
        <v>45</v>
      </c>
      <c r="J29" s="174"/>
      <c r="K29" s="267">
        <v>0</v>
      </c>
      <c r="L29" s="268"/>
      <c r="M29" s="104">
        <v>0.5</v>
      </c>
    </row>
    <row r="30" spans="2:43" ht="16.2" x14ac:dyDescent="0.3">
      <c r="B30" s="258" t="s">
        <v>179</v>
      </c>
      <c r="C30" s="240"/>
      <c r="D30" s="179">
        <f>IF($J7=TRUE,$F7,(IF($J8=TRUE,$F8,(IF($J9=TRUE,$F9)))))</f>
        <v>274</v>
      </c>
      <c r="E30" s="179">
        <f>IF($J7=TRUE,$F7,(IF($J8=TRUE,$F8,(IF($J9=TRUE,$F9)))))</f>
        <v>274</v>
      </c>
      <c r="F30" s="179">
        <f>IF($J7=TRUE,$F7,(IF($J8=TRUE,$F8,(IF($J9=TRUE,$F9)))))</f>
        <v>274</v>
      </c>
      <c r="G30" s="208">
        <f t="shared" ref="G30:J30" si="3">IF($J7=TRUE,$F7,(IF($J8=TRUE,$F8,(IF($J9=TRUE,$F9)))))</f>
        <v>274</v>
      </c>
      <c r="H30" s="209">
        <f t="shared" si="3"/>
        <v>274</v>
      </c>
      <c r="I30" s="208">
        <f t="shared" si="3"/>
        <v>274</v>
      </c>
      <c r="J30" s="209">
        <f t="shared" si="3"/>
        <v>274</v>
      </c>
      <c r="K30" s="208">
        <f t="shared" ref="K30:L30" si="4">IF($J7=TRUE,$F7,(IF($J8=TRUE,$F8,(IF($J9=TRUE,$F9)))))</f>
        <v>274</v>
      </c>
      <c r="L30" s="209">
        <f t="shared" si="4"/>
        <v>274</v>
      </c>
      <c r="M30" s="179">
        <f>IF($J7=TRUE,$F7,(IF($J8=TRUE,$F8,(IF($J9=TRUE,$F9)))))</f>
        <v>274</v>
      </c>
    </row>
    <row r="31" spans="2:43" ht="16.2" x14ac:dyDescent="0.3">
      <c r="B31" s="258" t="s">
        <v>183</v>
      </c>
      <c r="C31" s="240"/>
      <c r="D31" s="179">
        <f>IF($J7=TRUE,$H7,(IF($J8=TRUE,$H8,(IF($J9=TRUE,$H9)))))</f>
        <v>200</v>
      </c>
      <c r="E31" s="179">
        <f t="shared" ref="E31:F31" si="5">IF($J7=TRUE,$H7,(IF($J8=TRUE,$H8,(IF($J9=TRUE,$H9)))))</f>
        <v>200</v>
      </c>
      <c r="F31" s="179">
        <f t="shared" si="5"/>
        <v>200</v>
      </c>
      <c r="G31" s="208">
        <v>200</v>
      </c>
      <c r="H31" s="209">
        <f t="shared" ref="H31:I31" si="6">IF($J7=TRUE,$H7,(IF($J8=TRUE,$H8,(IF($J9=TRUE,$H9)))))</f>
        <v>200</v>
      </c>
      <c r="I31" s="179">
        <f t="shared" si="6"/>
        <v>200</v>
      </c>
      <c r="J31" s="180"/>
      <c r="K31" s="208">
        <v>200</v>
      </c>
      <c r="L31" s="209">
        <f t="shared" ref="L31:M31" si="7">IF($J7=TRUE,$H7,(IF($J8=TRUE,$H8,(IF($J9=TRUE,$H9)))))</f>
        <v>200</v>
      </c>
      <c r="M31" s="179">
        <f t="shared" si="7"/>
        <v>200</v>
      </c>
    </row>
    <row r="32" spans="2:43" ht="15.75" customHeight="1" x14ac:dyDescent="0.3">
      <c r="B32" s="275"/>
      <c r="C32" s="276"/>
      <c r="D32" s="276"/>
      <c r="E32" s="276"/>
      <c r="F32" s="276"/>
      <c r="G32" s="276"/>
      <c r="H32" s="276"/>
      <c r="I32" s="276"/>
      <c r="J32" s="276"/>
      <c r="K32" s="276"/>
      <c r="L32" s="276"/>
      <c r="M32" s="277"/>
    </row>
    <row r="33" spans="2:23" x14ac:dyDescent="0.3">
      <c r="B33" s="245" t="s">
        <v>50</v>
      </c>
      <c r="C33" s="246"/>
      <c r="D33" s="246"/>
      <c r="E33" s="246"/>
      <c r="F33" s="246"/>
      <c r="G33" s="246"/>
      <c r="H33" s="246"/>
      <c r="I33" s="246"/>
      <c r="J33" s="246"/>
      <c r="K33" s="246"/>
      <c r="L33" s="246"/>
      <c r="M33" s="247"/>
    </row>
    <row r="34" spans="2:23" x14ac:dyDescent="0.3">
      <c r="B34" s="245" t="s">
        <v>51</v>
      </c>
      <c r="C34" s="246"/>
      <c r="D34" s="246"/>
      <c r="E34" s="246"/>
      <c r="F34" s="246"/>
      <c r="G34" s="246"/>
      <c r="H34" s="246"/>
      <c r="I34" s="246"/>
      <c r="J34" s="246"/>
      <c r="K34" s="246"/>
      <c r="L34" s="246"/>
      <c r="M34" s="247"/>
    </row>
    <row r="35" spans="2:23" x14ac:dyDescent="0.3">
      <c r="B35" s="245" t="s">
        <v>52</v>
      </c>
      <c r="C35" s="246"/>
      <c r="D35" s="246"/>
      <c r="E35" s="246"/>
      <c r="F35" s="246"/>
      <c r="G35" s="246"/>
      <c r="H35" s="246"/>
      <c r="I35" s="246"/>
      <c r="J35" s="246"/>
      <c r="K35" s="246"/>
      <c r="L35" s="246"/>
      <c r="M35" s="247"/>
    </row>
    <row r="36" spans="2:23" x14ac:dyDescent="0.3">
      <c r="B36" s="245" t="s">
        <v>189</v>
      </c>
      <c r="C36" s="246"/>
      <c r="D36" s="246"/>
      <c r="E36" s="246"/>
      <c r="F36" s="246"/>
      <c r="G36" s="246"/>
      <c r="H36" s="246"/>
      <c r="I36" s="246"/>
      <c r="J36" s="246"/>
      <c r="K36" s="246"/>
      <c r="L36" s="246"/>
      <c r="M36" s="247"/>
    </row>
    <row r="37" spans="2:23" x14ac:dyDescent="0.3">
      <c r="B37" s="245" t="s">
        <v>188</v>
      </c>
      <c r="C37" s="246"/>
      <c r="D37" s="246"/>
      <c r="E37" s="246"/>
      <c r="F37" s="246"/>
      <c r="G37" s="246"/>
      <c r="H37" s="246"/>
      <c r="I37" s="246"/>
      <c r="J37" s="246"/>
      <c r="K37" s="246"/>
      <c r="L37" s="246"/>
      <c r="M37" s="247"/>
    </row>
    <row r="38" spans="2:23" x14ac:dyDescent="0.3">
      <c r="B38" s="245" t="s">
        <v>53</v>
      </c>
      <c r="C38" s="246"/>
      <c r="D38" s="246"/>
      <c r="E38" s="246"/>
      <c r="F38" s="246"/>
      <c r="G38" s="246"/>
      <c r="H38" s="246"/>
      <c r="I38" s="246"/>
      <c r="J38" s="246"/>
      <c r="K38" s="246"/>
      <c r="L38" s="246"/>
      <c r="M38" s="247"/>
    </row>
    <row r="39" spans="2:23" x14ac:dyDescent="0.3">
      <c r="B39" s="248"/>
      <c r="C39" s="249"/>
      <c r="D39" s="249"/>
      <c r="E39" s="249"/>
      <c r="F39" s="249"/>
      <c r="G39" s="249"/>
      <c r="H39" s="249"/>
      <c r="I39" s="249"/>
      <c r="J39" s="249"/>
      <c r="K39" s="249"/>
      <c r="L39" s="249"/>
      <c r="M39" s="250"/>
    </row>
    <row r="40" spans="2:23" x14ac:dyDescent="0.3">
      <c r="M40" s="29"/>
      <c r="N40" s="29"/>
    </row>
    <row r="41" spans="2:23" x14ac:dyDescent="0.3">
      <c r="B41" s="29"/>
      <c r="C41" s="29"/>
      <c r="D41" s="29"/>
      <c r="E41" s="29"/>
    </row>
    <row r="42" spans="2:23" x14ac:dyDescent="0.3">
      <c r="B42" s="29"/>
      <c r="C42" s="29"/>
      <c r="P42" s="241"/>
      <c r="Q42" s="242"/>
      <c r="R42" s="238"/>
      <c r="S42" s="238"/>
      <c r="T42" s="238"/>
      <c r="U42" s="238"/>
      <c r="V42" s="238"/>
      <c r="W42" s="238"/>
    </row>
    <row r="43" spans="2:23" x14ac:dyDescent="0.3">
      <c r="B43" s="114" t="s">
        <v>54</v>
      </c>
      <c r="C43" s="109"/>
      <c r="D43" s="109"/>
      <c r="E43" s="109"/>
      <c r="F43" s="109"/>
      <c r="G43" s="109"/>
      <c r="H43" s="109"/>
      <c r="I43" s="109"/>
      <c r="J43" s="109"/>
      <c r="K43" s="287"/>
      <c r="L43" s="287"/>
      <c r="M43" s="110"/>
      <c r="P43" s="241"/>
      <c r="Q43" s="242"/>
      <c r="R43" s="238"/>
      <c r="S43" s="238"/>
      <c r="T43" s="238"/>
      <c r="U43" s="238"/>
      <c r="V43" s="238"/>
      <c r="W43" s="238"/>
    </row>
    <row r="44" spans="2:23" s="25" customFormat="1" x14ac:dyDescent="0.3">
      <c r="B44" s="115"/>
      <c r="C44" s="133"/>
      <c r="D44" s="139" t="s">
        <v>13</v>
      </c>
      <c r="E44" s="140" t="s">
        <v>14</v>
      </c>
      <c r="F44" s="141" t="s">
        <v>15</v>
      </c>
      <c r="G44" s="231" t="s">
        <v>55</v>
      </c>
      <c r="H44" s="231"/>
      <c r="I44" s="130" t="s">
        <v>25</v>
      </c>
      <c r="J44" s="130"/>
      <c r="K44" s="288" t="str">
        <f>K12</f>
        <v>Sorghum</v>
      </c>
      <c r="L44" s="288"/>
      <c r="M44" s="131" t="s">
        <v>16</v>
      </c>
    </row>
    <row r="45" spans="2:23" x14ac:dyDescent="0.3">
      <c r="B45" s="116"/>
      <c r="C45" s="45">
        <v>2023</v>
      </c>
      <c r="D45" s="134">
        <f>Miscanthus!D5</f>
        <v>-4676.3999999999996</v>
      </c>
      <c r="E45" s="135">
        <f>Zonnekroon!D5</f>
        <v>-506.4</v>
      </c>
      <c r="F45" s="136">
        <f>Hennep!D5</f>
        <v>1778.1699999999998</v>
      </c>
      <c r="G45" s="236">
        <f>Graan!$D5</f>
        <v>1263.0999999999999</v>
      </c>
      <c r="H45" s="237"/>
      <c r="I45" s="137">
        <f>Mais!D5</f>
        <v>1552</v>
      </c>
      <c r="J45" s="147"/>
      <c r="K45" s="251">
        <f>Sorghum!D5</f>
        <v>1872.2</v>
      </c>
      <c r="L45" s="252"/>
      <c r="M45" s="138">
        <f>Bamboe!D5</f>
        <v>-4951</v>
      </c>
      <c r="P45" s="241"/>
      <c r="Q45" s="73"/>
      <c r="R45" s="70"/>
      <c r="S45" s="70"/>
      <c r="T45" s="70"/>
      <c r="U45" s="70"/>
      <c r="V45" s="70"/>
      <c r="W45" s="70"/>
    </row>
    <row r="46" spans="2:23" x14ac:dyDescent="0.3">
      <c r="B46" s="116"/>
      <c r="C46" s="45">
        <v>2024</v>
      </c>
      <c r="D46" s="105">
        <f>Miscanthus!D6</f>
        <v>-2007.6099999999997</v>
      </c>
      <c r="E46" s="106">
        <f>Zonnekroon!D6</f>
        <v>-7.9500000000000455</v>
      </c>
      <c r="F46" s="107">
        <f>Hennep!D6</f>
        <v>3556.3399999999997</v>
      </c>
      <c r="G46" s="234">
        <f>Graan!$D6</f>
        <v>2526.1999999999998</v>
      </c>
      <c r="H46" s="235"/>
      <c r="I46" s="108">
        <f>Mais!D6</f>
        <v>3104</v>
      </c>
      <c r="J46" s="148"/>
      <c r="K46" s="251">
        <f>Sorghum!D6</f>
        <v>3744.4</v>
      </c>
      <c r="L46" s="252"/>
      <c r="M46" s="132">
        <f>Bamboe!D6</f>
        <v>-5477</v>
      </c>
      <c r="P46" s="241"/>
      <c r="Q46" s="242"/>
      <c r="R46" s="238"/>
      <c r="S46" s="238"/>
      <c r="T46" s="238"/>
      <c r="U46" s="238"/>
      <c r="V46" s="238"/>
      <c r="W46" s="238"/>
    </row>
    <row r="47" spans="2:23" x14ac:dyDescent="0.3">
      <c r="B47" s="116"/>
      <c r="C47" s="45">
        <v>2025</v>
      </c>
      <c r="D47" s="105">
        <f>Miscanthus!D7</f>
        <v>1566.9600000000005</v>
      </c>
      <c r="E47" s="106">
        <f>Zonnekroon!D7</f>
        <v>2400.8000000000002</v>
      </c>
      <c r="F47" s="107">
        <f>Hennep!D7</f>
        <v>5334.5099999999993</v>
      </c>
      <c r="G47" s="234">
        <f>Graan!$D7</f>
        <v>3789.2999999999997</v>
      </c>
      <c r="H47" s="235"/>
      <c r="I47" s="108">
        <f>Mais!D7</f>
        <v>4656</v>
      </c>
      <c r="J47" s="148"/>
      <c r="K47" s="251">
        <f>Sorghum!D7</f>
        <v>5616.6</v>
      </c>
      <c r="L47" s="252"/>
      <c r="M47" s="132">
        <f>Bamboe!D7</f>
        <v>-6003</v>
      </c>
      <c r="P47" s="241"/>
      <c r="Q47" s="242"/>
      <c r="R47" s="238"/>
      <c r="S47" s="238"/>
      <c r="T47" s="238"/>
      <c r="U47" s="238"/>
      <c r="V47" s="238"/>
      <c r="W47" s="238"/>
    </row>
    <row r="48" spans="2:23" x14ac:dyDescent="0.3">
      <c r="B48" s="116"/>
      <c r="C48" s="45">
        <v>2026</v>
      </c>
      <c r="D48" s="105">
        <f>Miscanthus!D8</f>
        <v>7447.99</v>
      </c>
      <c r="E48" s="106">
        <f>Zonnekroon!D8</f>
        <v>4834.05</v>
      </c>
      <c r="F48" s="107">
        <f>Hennep!D8</f>
        <v>7112.6799999999994</v>
      </c>
      <c r="G48" s="234">
        <f>Graan!$D8</f>
        <v>5052.3999999999996</v>
      </c>
      <c r="H48" s="235"/>
      <c r="I48" s="108">
        <f>Mais!D8</f>
        <v>6208</v>
      </c>
      <c r="J48" s="148"/>
      <c r="K48" s="251">
        <f>Sorghum!D8</f>
        <v>7488.8</v>
      </c>
      <c r="L48" s="252"/>
      <c r="M48" s="132">
        <f>Bamboe!D8</f>
        <v>-6301.3360000000002</v>
      </c>
    </row>
    <row r="49" spans="2:25" x14ac:dyDescent="0.3">
      <c r="B49" s="116"/>
      <c r="C49" s="45">
        <v>2027</v>
      </c>
      <c r="D49" s="105">
        <f>Miscanthus!D9</f>
        <v>13216.02</v>
      </c>
      <c r="E49" s="106">
        <f>Zonnekroon!D9</f>
        <v>7267.3</v>
      </c>
      <c r="F49" s="107">
        <f>Hennep!D9</f>
        <v>8890.8499999999985</v>
      </c>
      <c r="G49" s="234">
        <f>Graan!$D9</f>
        <v>6315.5</v>
      </c>
      <c r="H49" s="235"/>
      <c r="I49" s="108">
        <f>Mais!D9</f>
        <v>7760</v>
      </c>
      <c r="J49" s="148"/>
      <c r="K49" s="251">
        <f>Sorghum!D9</f>
        <v>9361</v>
      </c>
      <c r="L49" s="252"/>
      <c r="M49" s="132">
        <f>Bamboe!D9</f>
        <v>-5816.8556253443521</v>
      </c>
      <c r="P49" s="243"/>
      <c r="Q49" s="244"/>
      <c r="R49" s="244"/>
      <c r="S49" s="244"/>
      <c r="T49" s="244"/>
      <c r="U49" s="244"/>
      <c r="V49" s="244"/>
      <c r="W49" s="244"/>
      <c r="X49" s="244"/>
      <c r="Y49" s="244"/>
    </row>
    <row r="50" spans="2:25" x14ac:dyDescent="0.3">
      <c r="B50" s="116"/>
      <c r="C50" s="45">
        <v>2028</v>
      </c>
      <c r="D50" s="105">
        <f>Miscanthus!D10</f>
        <v>19097.05</v>
      </c>
      <c r="E50" s="106">
        <f>Zonnekroon!D10</f>
        <v>9700.5499999999993</v>
      </c>
      <c r="F50" s="107">
        <f>Hennep!D10</f>
        <v>10669.019999999999</v>
      </c>
      <c r="G50" s="234">
        <f>Graan!$D10</f>
        <v>7578.6</v>
      </c>
      <c r="H50" s="235"/>
      <c r="I50" s="108">
        <f>Mais!D10</f>
        <v>9312</v>
      </c>
      <c r="J50" s="148"/>
      <c r="K50" s="251">
        <f>Sorghum!D10</f>
        <v>11233.2</v>
      </c>
      <c r="L50" s="252"/>
      <c r="M50" s="132">
        <f>Bamboe!D10</f>
        <v>-4321.8948760330577</v>
      </c>
      <c r="P50" s="238"/>
      <c r="Q50" s="238"/>
      <c r="R50" s="238"/>
      <c r="S50" s="238"/>
      <c r="T50" s="238"/>
      <c r="U50" s="238"/>
      <c r="V50" s="238"/>
      <c r="W50" s="238"/>
      <c r="X50" s="238"/>
      <c r="Y50" s="238"/>
    </row>
    <row r="51" spans="2:25" x14ac:dyDescent="0.3">
      <c r="B51" s="116"/>
      <c r="C51" s="45">
        <v>2029</v>
      </c>
      <c r="D51" s="105">
        <f>Miscanthus!D11</f>
        <v>24865.079999999998</v>
      </c>
      <c r="E51" s="106">
        <f>Zonnekroon!D11</f>
        <v>12133.8</v>
      </c>
      <c r="F51" s="107">
        <f>Hennep!D11</f>
        <v>12447.189999999999</v>
      </c>
      <c r="G51" s="234">
        <f>Graan!$D11</f>
        <v>8841.7000000000007</v>
      </c>
      <c r="H51" s="235"/>
      <c r="I51" s="108">
        <f>Mais!D11</f>
        <v>10864</v>
      </c>
      <c r="J51" s="148"/>
      <c r="K51" s="251">
        <f>Sorghum!D11</f>
        <v>13105.400000000001</v>
      </c>
      <c r="L51" s="252"/>
      <c r="M51" s="132">
        <f>Bamboe!D11</f>
        <v>-1154.2400137741042</v>
      </c>
      <c r="P51" s="238"/>
      <c r="Q51" s="238"/>
      <c r="R51" s="238"/>
      <c r="S51" s="238"/>
      <c r="T51" s="238"/>
      <c r="U51" s="238"/>
      <c r="V51" s="238"/>
      <c r="W51" s="238"/>
      <c r="X51" s="238"/>
      <c r="Y51" s="238"/>
    </row>
    <row r="52" spans="2:25" x14ac:dyDescent="0.3">
      <c r="B52" s="116"/>
      <c r="C52" s="45">
        <v>2030</v>
      </c>
      <c r="D52" s="105">
        <f>Miscanthus!D12</f>
        <v>30746.109999999997</v>
      </c>
      <c r="E52" s="106">
        <f>Zonnekroon!D12</f>
        <v>14567.05</v>
      </c>
      <c r="F52" s="107">
        <f>Hennep!D12</f>
        <v>14225.359999999999</v>
      </c>
      <c r="G52" s="234">
        <f>Graan!$D12</f>
        <v>10104.800000000001</v>
      </c>
      <c r="H52" s="235"/>
      <c r="I52" s="108">
        <f>Mais!D12</f>
        <v>12416</v>
      </c>
      <c r="J52" s="148"/>
      <c r="K52" s="251">
        <f>Sorghum!D12</f>
        <v>14977.600000000002</v>
      </c>
      <c r="L52" s="252"/>
      <c r="M52" s="132">
        <f>Bamboe!D12</f>
        <v>4390.8238705234162</v>
      </c>
      <c r="P52" s="238"/>
      <c r="Q52" s="238"/>
      <c r="R52" s="238"/>
      <c r="S52" s="238"/>
      <c r="T52" s="238"/>
      <c r="U52" s="238"/>
      <c r="V52" s="238"/>
      <c r="W52" s="238"/>
      <c r="X52" s="238"/>
      <c r="Y52" s="238"/>
    </row>
    <row r="53" spans="2:25" x14ac:dyDescent="0.3">
      <c r="B53" s="116"/>
      <c r="C53" s="45">
        <v>2031</v>
      </c>
      <c r="D53" s="105">
        <f>Miscanthus!D13</f>
        <v>36514.14</v>
      </c>
      <c r="E53" s="106">
        <f>Zonnekroon!D13</f>
        <v>17000.3</v>
      </c>
      <c r="F53" s="107">
        <f>Hennep!D13</f>
        <v>16003.529999999999</v>
      </c>
      <c r="G53" s="234">
        <f>Graan!$D13</f>
        <v>11367.900000000001</v>
      </c>
      <c r="H53" s="235"/>
      <c r="I53" s="108">
        <f>Mais!D13</f>
        <v>13968</v>
      </c>
      <c r="J53" s="148"/>
      <c r="K53" s="251">
        <f>Sorghum!D13</f>
        <v>16849.800000000003</v>
      </c>
      <c r="L53" s="252"/>
      <c r="M53" s="132">
        <f>Bamboe!D13</f>
        <v>10471.194573002758</v>
      </c>
    </row>
    <row r="54" spans="2:25" x14ac:dyDescent="0.3">
      <c r="B54" s="116"/>
      <c r="C54" s="45">
        <v>2032</v>
      </c>
      <c r="D54" s="105">
        <f>Miscanthus!D14</f>
        <v>42395.17</v>
      </c>
      <c r="E54" s="106">
        <f>Zonnekroon!D14</f>
        <v>19433.55</v>
      </c>
      <c r="F54" s="107">
        <f>Hennep!D14</f>
        <v>17781.699999999997</v>
      </c>
      <c r="G54" s="234">
        <f>Graan!$D14</f>
        <v>12631.000000000002</v>
      </c>
      <c r="H54" s="235"/>
      <c r="I54" s="108">
        <f>Mais!D14</f>
        <v>15520</v>
      </c>
      <c r="J54" s="148"/>
      <c r="K54" s="251">
        <f>Sorghum!D14</f>
        <v>18722.000000000004</v>
      </c>
      <c r="L54" s="252"/>
      <c r="M54" s="132">
        <f>Bamboe!D14</f>
        <v>17086.872093663915</v>
      </c>
    </row>
    <row r="55" spans="2:25" x14ac:dyDescent="0.3">
      <c r="B55" s="116"/>
      <c r="C55" s="45">
        <v>2033</v>
      </c>
      <c r="D55" s="105">
        <f>Miscanthus!D15</f>
        <v>48163.199999999997</v>
      </c>
      <c r="E55" s="106">
        <f>Zonnekroon!D15</f>
        <v>21866.799999999999</v>
      </c>
      <c r="F55" s="107">
        <f>Hennep!D15</f>
        <v>19559.869999999995</v>
      </c>
      <c r="G55" s="234">
        <f>Graan!$D15</f>
        <v>13894.100000000002</v>
      </c>
      <c r="H55" s="235"/>
      <c r="I55" s="108">
        <f>Mais!D15</f>
        <v>17072</v>
      </c>
      <c r="J55" s="148"/>
      <c r="K55" s="251">
        <f>Sorghum!D15</f>
        <v>20594.200000000004</v>
      </c>
      <c r="L55" s="252"/>
      <c r="M55" s="132">
        <f>Bamboe!D15</f>
        <v>24211.196826446285</v>
      </c>
    </row>
    <row r="56" spans="2:25" x14ac:dyDescent="0.3">
      <c r="B56" s="116"/>
      <c r="C56" s="45">
        <v>2034</v>
      </c>
      <c r="D56" s="105">
        <f>Miscanthus!D16</f>
        <v>54044.229999999996</v>
      </c>
      <c r="E56" s="106">
        <f>Zonnekroon!D16</f>
        <v>24300.05</v>
      </c>
      <c r="F56" s="107">
        <f>Hennep!D16</f>
        <v>21338.039999999994</v>
      </c>
      <c r="G56" s="234">
        <f>Graan!$D16</f>
        <v>15157.200000000003</v>
      </c>
      <c r="H56" s="235"/>
      <c r="I56" s="108">
        <f>Mais!D16</f>
        <v>18624</v>
      </c>
      <c r="J56" s="148"/>
      <c r="K56" s="251">
        <f>Sorghum!D16</f>
        <v>22466.400000000005</v>
      </c>
      <c r="L56" s="252"/>
      <c r="M56" s="132">
        <f>Bamboe!D16</f>
        <v>31335.521559228655</v>
      </c>
    </row>
    <row r="57" spans="2:25" x14ac:dyDescent="0.3">
      <c r="B57" s="116"/>
      <c r="C57" s="45">
        <v>2035</v>
      </c>
      <c r="D57" s="105">
        <f>Miscanthus!D17</f>
        <v>59812.259999999995</v>
      </c>
      <c r="E57" s="106">
        <f>Zonnekroon!D17</f>
        <v>26733.3</v>
      </c>
      <c r="F57" s="107">
        <f>Hennep!D17</f>
        <v>23116.209999999992</v>
      </c>
      <c r="G57" s="234">
        <f>Graan!$D17</f>
        <v>16420.300000000003</v>
      </c>
      <c r="H57" s="235"/>
      <c r="I57" s="108">
        <f>Mais!D17</f>
        <v>20176</v>
      </c>
      <c r="J57" s="148"/>
      <c r="K57" s="251">
        <f>Sorghum!D17</f>
        <v>24338.600000000006</v>
      </c>
      <c r="L57" s="252"/>
      <c r="M57" s="132">
        <f>Bamboe!D17</f>
        <v>42659.846292011025</v>
      </c>
    </row>
    <row r="58" spans="2:25" x14ac:dyDescent="0.3">
      <c r="B58" s="116"/>
      <c r="C58" s="45">
        <v>2036</v>
      </c>
      <c r="D58" s="105">
        <f>Miscanthus!D18</f>
        <v>65693.289999999994</v>
      </c>
      <c r="E58" s="106">
        <f>Zonnekroon!D18</f>
        <v>29166.55</v>
      </c>
      <c r="F58" s="107">
        <f>Hennep!D18</f>
        <v>24894.37999999999</v>
      </c>
      <c r="G58" s="234">
        <f>Graan!$D18</f>
        <v>17683.400000000001</v>
      </c>
      <c r="H58" s="235"/>
      <c r="I58" s="108">
        <f>Mais!D18</f>
        <v>21728</v>
      </c>
      <c r="J58" s="148"/>
      <c r="K58" s="251">
        <f>Sorghum!D18</f>
        <v>26210.800000000007</v>
      </c>
      <c r="L58" s="252"/>
      <c r="M58" s="132">
        <f>Bamboe!D18</f>
        <v>49784.171024793395</v>
      </c>
    </row>
    <row r="59" spans="2:25" x14ac:dyDescent="0.3">
      <c r="B59" s="116"/>
      <c r="C59" s="45">
        <v>2037</v>
      </c>
      <c r="D59" s="105">
        <f>Miscanthus!D19</f>
        <v>71461.319999999992</v>
      </c>
      <c r="E59" s="106">
        <f>Zonnekroon!D19</f>
        <v>31599.8</v>
      </c>
      <c r="F59" s="107">
        <f>Hennep!D19</f>
        <v>26672.549999999988</v>
      </c>
      <c r="G59" s="234">
        <f>Graan!$D19</f>
        <v>18946.5</v>
      </c>
      <c r="H59" s="235"/>
      <c r="I59" s="108">
        <f>Mais!D19</f>
        <v>23280</v>
      </c>
      <c r="J59" s="148"/>
      <c r="K59" s="251">
        <f>Sorghum!D19</f>
        <v>28083.000000000007</v>
      </c>
      <c r="L59" s="252"/>
      <c r="M59" s="132">
        <f>Bamboe!D19</f>
        <v>56908.495757575765</v>
      </c>
    </row>
    <row r="60" spans="2:25" x14ac:dyDescent="0.3">
      <c r="B60" s="116"/>
      <c r="C60" s="45">
        <v>2038</v>
      </c>
      <c r="D60" s="105">
        <f>Miscanthus!D20</f>
        <v>77342.349999999991</v>
      </c>
      <c r="E60" s="106">
        <f>Zonnekroon!D20</f>
        <v>34033.050000000003</v>
      </c>
      <c r="F60" s="107">
        <f>Hennep!D20</f>
        <v>28450.719999999987</v>
      </c>
      <c r="G60" s="234">
        <f>Graan!$D20</f>
        <v>20209.599999999999</v>
      </c>
      <c r="H60" s="235"/>
      <c r="I60" s="108">
        <f>Mais!D20</f>
        <v>24832</v>
      </c>
      <c r="J60" s="148"/>
      <c r="K60" s="251">
        <f>Sorghum!D20</f>
        <v>29955.200000000008</v>
      </c>
      <c r="L60" s="252"/>
      <c r="M60" s="132">
        <f>Bamboe!D20</f>
        <v>64032.820490358135</v>
      </c>
    </row>
    <row r="61" spans="2:25" x14ac:dyDescent="0.3">
      <c r="B61" s="116"/>
      <c r="C61" s="45">
        <v>2039</v>
      </c>
      <c r="D61" s="105">
        <f>Miscanthus!D21</f>
        <v>83110.37999999999</v>
      </c>
      <c r="E61" s="106">
        <f>Zonnekroon!D21</f>
        <v>36466.300000000003</v>
      </c>
      <c r="F61" s="107">
        <f>Hennep!D21</f>
        <v>30228.889999999985</v>
      </c>
      <c r="G61" s="234">
        <f>Graan!$D21</f>
        <v>21472.699999999997</v>
      </c>
      <c r="H61" s="235"/>
      <c r="I61" s="108">
        <f>Mais!D21</f>
        <v>26384</v>
      </c>
      <c r="J61" s="148"/>
      <c r="K61" s="251">
        <f>Sorghum!D21</f>
        <v>31827.400000000009</v>
      </c>
      <c r="L61" s="252"/>
      <c r="M61" s="132">
        <f>Bamboe!D21</f>
        <v>71308.921223140511</v>
      </c>
    </row>
    <row r="62" spans="2:25" x14ac:dyDescent="0.3">
      <c r="B62" s="116"/>
      <c r="C62" s="45">
        <v>2040</v>
      </c>
      <c r="D62" s="105">
        <f>Miscanthus!D22</f>
        <v>88991.409999999989</v>
      </c>
      <c r="E62" s="106">
        <f>Zonnekroon!D22</f>
        <v>38899.550000000003</v>
      </c>
      <c r="F62" s="107">
        <f>Hennep!D22</f>
        <v>32007.059999999983</v>
      </c>
      <c r="G62" s="234">
        <f>Graan!$D22</f>
        <v>22735.799999999996</v>
      </c>
      <c r="H62" s="235"/>
      <c r="I62" s="108">
        <f>Mais!D22</f>
        <v>27936</v>
      </c>
      <c r="J62" s="148"/>
      <c r="K62" s="251">
        <f>Sorghum!D22</f>
        <v>33699.600000000006</v>
      </c>
      <c r="L62" s="252"/>
      <c r="M62" s="132">
        <f>Bamboe!D22</f>
        <v>79495.677955922874</v>
      </c>
    </row>
    <row r="63" spans="2:25" x14ac:dyDescent="0.3">
      <c r="B63" s="116"/>
      <c r="C63" s="45">
        <v>2041</v>
      </c>
      <c r="D63" s="105">
        <f>Miscanthus!D23</f>
        <v>94759.439999999988</v>
      </c>
      <c r="E63" s="106">
        <f>Zonnekroon!D23</f>
        <v>41332.800000000003</v>
      </c>
      <c r="F63" s="107">
        <f>Hennep!D23</f>
        <v>33785.229999999981</v>
      </c>
      <c r="G63" s="234">
        <f>Graan!$D23</f>
        <v>23998.899999999994</v>
      </c>
      <c r="H63" s="235"/>
      <c r="I63" s="108">
        <f>Mais!D23</f>
        <v>29488</v>
      </c>
      <c r="J63" s="148"/>
      <c r="K63" s="251">
        <f>Sorghum!D23</f>
        <v>35571.800000000003</v>
      </c>
      <c r="L63" s="252"/>
      <c r="M63" s="132">
        <f>Bamboe!D23</f>
        <v>87834.210688705251</v>
      </c>
    </row>
    <row r="64" spans="2:25" x14ac:dyDescent="0.3">
      <c r="B64" s="116"/>
      <c r="C64" s="45">
        <v>2042</v>
      </c>
      <c r="D64" s="105">
        <f>Miscanthus!D24</f>
        <v>100805.46999999999</v>
      </c>
      <c r="E64" s="106">
        <f>Zonnekroon!D24</f>
        <v>43766.05</v>
      </c>
      <c r="F64" s="107">
        <f>Hennep!D24</f>
        <v>35563.39999999998</v>
      </c>
      <c r="G64" s="234">
        <f>Graan!$D24</f>
        <v>25261.999999999993</v>
      </c>
      <c r="H64" s="235"/>
      <c r="I64" s="108">
        <f>Mais!D24</f>
        <v>31040</v>
      </c>
      <c r="J64" s="148"/>
      <c r="K64" s="251">
        <f>Sorghum!D24</f>
        <v>37444</v>
      </c>
      <c r="L64" s="252"/>
      <c r="M64" s="132">
        <f>Bamboe!D24</f>
        <v>96324.519421487625</v>
      </c>
    </row>
    <row r="65" spans="2:13" x14ac:dyDescent="0.3">
      <c r="B65" s="116"/>
      <c r="C65" s="45">
        <v>2043</v>
      </c>
      <c r="D65" s="105">
        <f>Miscanthus!D25</f>
        <v>106851.49999999999</v>
      </c>
      <c r="E65" s="106">
        <f>Zonnekroon!D25</f>
        <v>46199.3</v>
      </c>
      <c r="F65" s="107">
        <f>Hennep!D25</f>
        <v>37341.569999999978</v>
      </c>
      <c r="G65" s="234">
        <f>Graan!$D25</f>
        <v>26525.099999999991</v>
      </c>
      <c r="H65" s="235"/>
      <c r="I65" s="108">
        <f>Mais!D25</f>
        <v>32592</v>
      </c>
      <c r="J65" s="148"/>
      <c r="K65" s="251">
        <f>Sorghum!D25</f>
        <v>39316.199999999997</v>
      </c>
      <c r="L65" s="252"/>
      <c r="M65" s="132">
        <f>Bamboe!D25</f>
        <v>104814.82815427</v>
      </c>
    </row>
    <row r="66" spans="2:13" x14ac:dyDescent="0.3">
      <c r="B66" s="232"/>
      <c r="C66" s="233"/>
      <c r="D66" s="233"/>
      <c r="E66" s="233"/>
      <c r="F66" s="233"/>
      <c r="G66" s="233"/>
      <c r="H66" s="233"/>
      <c r="I66" s="233"/>
      <c r="J66" s="102"/>
      <c r="K66" s="102"/>
      <c r="L66" s="102"/>
      <c r="M66" s="103"/>
    </row>
    <row r="68" spans="2:13" x14ac:dyDescent="0.3">
      <c r="C68" s="25"/>
    </row>
    <row r="69" spans="2:13" x14ac:dyDescent="0.3">
      <c r="C69" s="25"/>
    </row>
    <row r="70" spans="2:13" x14ac:dyDescent="0.3">
      <c r="C70" s="25"/>
    </row>
    <row r="71" spans="2:13" x14ac:dyDescent="0.3">
      <c r="C71" s="32"/>
      <c r="D71" s="24"/>
      <c r="E71" s="24"/>
      <c r="F71" s="24"/>
      <c r="G71" s="24"/>
      <c r="H71" s="24"/>
      <c r="I71" s="24"/>
      <c r="J71" s="24"/>
      <c r="K71" s="24"/>
      <c r="L71" s="24"/>
      <c r="M71" s="24"/>
    </row>
    <row r="72" spans="2:13" x14ac:dyDescent="0.3">
      <c r="C72" s="25"/>
    </row>
    <row r="73" spans="2:13" x14ac:dyDescent="0.3">
      <c r="C73" s="25"/>
    </row>
    <row r="74" spans="2:13" x14ac:dyDescent="0.3">
      <c r="C74" s="32"/>
      <c r="D74" s="24"/>
      <c r="E74" s="24"/>
      <c r="F74" s="24"/>
      <c r="G74" s="24"/>
      <c r="H74" s="24"/>
      <c r="I74" s="24"/>
      <c r="J74" s="24"/>
      <c r="K74" s="24"/>
      <c r="L74" s="24"/>
      <c r="M74" s="24"/>
    </row>
  </sheetData>
  <mergeCells count="117">
    <mergeCell ref="K51:L51"/>
    <mergeCell ref="K52:L52"/>
    <mergeCell ref="K43:L43"/>
    <mergeCell ref="K44:L44"/>
    <mergeCell ref="K63:L63"/>
    <mergeCell ref="K64:L64"/>
    <mergeCell ref="K65:L65"/>
    <mergeCell ref="K58:L58"/>
    <mergeCell ref="K59:L59"/>
    <mergeCell ref="K60:L60"/>
    <mergeCell ref="K61:L61"/>
    <mergeCell ref="K62:L62"/>
    <mergeCell ref="K53:L53"/>
    <mergeCell ref="K54:L54"/>
    <mergeCell ref="K55:L55"/>
    <mergeCell ref="K56:L56"/>
    <mergeCell ref="K57:L57"/>
    <mergeCell ref="K45:L45"/>
    <mergeCell ref="K46:L46"/>
    <mergeCell ref="B1:I1"/>
    <mergeCell ref="B2:I2"/>
    <mergeCell ref="B16:C17"/>
    <mergeCell ref="B32:M32"/>
    <mergeCell ref="K16:L16"/>
    <mergeCell ref="K22:L22"/>
    <mergeCell ref="B18:C18"/>
    <mergeCell ref="B19:C19"/>
    <mergeCell ref="B20:C20"/>
    <mergeCell ref="B21:C21"/>
    <mergeCell ref="G28:H28"/>
    <mergeCell ref="G29:H29"/>
    <mergeCell ref="G30:H30"/>
    <mergeCell ref="G31:H31"/>
    <mergeCell ref="G16:H16"/>
    <mergeCell ref="B31:C31"/>
    <mergeCell ref="B23:C23"/>
    <mergeCell ref="B26:C26"/>
    <mergeCell ref="B28:C28"/>
    <mergeCell ref="B29:C29"/>
    <mergeCell ref="B27:C27"/>
    <mergeCell ref="G6:H6"/>
    <mergeCell ref="K6:L6"/>
    <mergeCell ref="K12:L12"/>
    <mergeCell ref="O21:P26"/>
    <mergeCell ref="B30:C30"/>
    <mergeCell ref="G12:H12"/>
    <mergeCell ref="G13:H13"/>
    <mergeCell ref="B24:C24"/>
    <mergeCell ref="G22:H22"/>
    <mergeCell ref="G25:H25"/>
    <mergeCell ref="G24:H24"/>
    <mergeCell ref="G26:H26"/>
    <mergeCell ref="G27:H27"/>
    <mergeCell ref="K25:L25"/>
    <mergeCell ref="K26:L26"/>
    <mergeCell ref="K27:L27"/>
    <mergeCell ref="K28:L28"/>
    <mergeCell ref="K29:L29"/>
    <mergeCell ref="K30:L30"/>
    <mergeCell ref="P52:Y52"/>
    <mergeCell ref="B22:C22"/>
    <mergeCell ref="B25:C25"/>
    <mergeCell ref="P51:Y51"/>
    <mergeCell ref="P45:P47"/>
    <mergeCell ref="P42:P43"/>
    <mergeCell ref="Q42:W42"/>
    <mergeCell ref="Q43:W43"/>
    <mergeCell ref="Q47:W47"/>
    <mergeCell ref="Q46:W46"/>
    <mergeCell ref="P49:Y49"/>
    <mergeCell ref="P50:Y50"/>
    <mergeCell ref="K31:L31"/>
    <mergeCell ref="B33:M33"/>
    <mergeCell ref="B34:M34"/>
    <mergeCell ref="B35:M35"/>
    <mergeCell ref="B36:M36"/>
    <mergeCell ref="B37:M37"/>
    <mergeCell ref="B39:M39"/>
    <mergeCell ref="B38:M38"/>
    <mergeCell ref="K47:L47"/>
    <mergeCell ref="K48:L48"/>
    <mergeCell ref="K49:L49"/>
    <mergeCell ref="K50:L50"/>
    <mergeCell ref="G44:H44"/>
    <mergeCell ref="B66:I66"/>
    <mergeCell ref="G60:H60"/>
    <mergeCell ref="G61:H61"/>
    <mergeCell ref="G62:H62"/>
    <mergeCell ref="G63:H63"/>
    <mergeCell ref="G64:H64"/>
    <mergeCell ref="G55:H55"/>
    <mergeCell ref="G56:H56"/>
    <mergeCell ref="G57:H57"/>
    <mergeCell ref="G58:H58"/>
    <mergeCell ref="G59:H59"/>
    <mergeCell ref="G50:H50"/>
    <mergeCell ref="G51:H51"/>
    <mergeCell ref="G52:H52"/>
    <mergeCell ref="G53:H53"/>
    <mergeCell ref="G54:H54"/>
    <mergeCell ref="G45:H45"/>
    <mergeCell ref="G46:H46"/>
    <mergeCell ref="G47:H47"/>
    <mergeCell ref="G48:H48"/>
    <mergeCell ref="G49:H49"/>
    <mergeCell ref="G65:H65"/>
    <mergeCell ref="K5:M5"/>
    <mergeCell ref="I30:J30"/>
    <mergeCell ref="K7:L9"/>
    <mergeCell ref="K10:M10"/>
    <mergeCell ref="M7:M9"/>
    <mergeCell ref="D10:I10"/>
    <mergeCell ref="D15:M15"/>
    <mergeCell ref="D5:I5"/>
    <mergeCell ref="B5:C5"/>
    <mergeCell ref="K13:L13"/>
    <mergeCell ref="K24:L24"/>
  </mergeCells>
  <phoneticPr fontId="8" type="noConversion"/>
  <dataValidations count="2">
    <dataValidation type="list" allowBlank="1" showInputMessage="1" showErrorMessage="1" sqref="D22:F22 K22" xr:uid="{623D72E3-DA9E-4489-91B8-DF1F7AAB3F06}">
      <formula1>$AN$15:$AN$16</formula1>
    </dataValidation>
    <dataValidation type="list" allowBlank="1" showInputMessage="1" showErrorMessage="1" sqref="G7:H9" xr:uid="{943B7EA6-2C61-4F1A-A703-F27D82532914}">
      <formula1>$AP$15:$AP$18</formula1>
    </dataValidation>
  </dataValidations>
  <pageMargins left="0.7" right="0.7" top="0.75" bottom="0.75" header="0.3" footer="0.3"/>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2</xdr:col>
                    <xdr:colOff>518160</xdr:colOff>
                    <xdr:row>6</xdr:row>
                    <xdr:rowOff>0</xdr:rowOff>
                  </from>
                  <to>
                    <xdr:col>2</xdr:col>
                    <xdr:colOff>800100</xdr:colOff>
                    <xdr:row>7</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518160</xdr:colOff>
                    <xdr:row>7</xdr:row>
                    <xdr:rowOff>0</xdr:rowOff>
                  </from>
                  <to>
                    <xdr:col>3</xdr:col>
                    <xdr:colOff>114300</xdr:colOff>
                    <xdr:row>8</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518160</xdr:colOff>
                    <xdr:row>7</xdr:row>
                    <xdr:rowOff>198120</xdr:rowOff>
                  </from>
                  <to>
                    <xdr:col>2</xdr:col>
                    <xdr:colOff>769620</xdr:colOff>
                    <xdr:row>9</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D616-685E-4C61-B506-966E1FFCCAC0}">
  <dimension ref="A1"/>
  <sheetViews>
    <sheetView workbookViewId="0"/>
  </sheetViews>
  <sheetFormatPr defaultRowHeight="15.6"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7837A-BF86-409C-8244-D919E8325E34}">
  <dimension ref="A2:B14"/>
  <sheetViews>
    <sheetView workbookViewId="0">
      <selection activeCell="A11" sqref="A11"/>
    </sheetView>
  </sheetViews>
  <sheetFormatPr defaultRowHeight="15.6" x14ac:dyDescent="0.3"/>
  <cols>
    <col min="1" max="1" width="105.8984375" customWidth="1"/>
    <col min="2" max="2" width="92.69921875" customWidth="1"/>
  </cols>
  <sheetData>
    <row r="2" spans="1:2" x14ac:dyDescent="0.3">
      <c r="A2" s="1" t="s">
        <v>171</v>
      </c>
    </row>
    <row r="3" spans="1:2" x14ac:dyDescent="0.3">
      <c r="A3" s="194">
        <v>45054</v>
      </c>
    </row>
    <row r="4" spans="1:2" x14ac:dyDescent="0.3">
      <c r="A4" s="192"/>
    </row>
    <row r="5" spans="1:2" ht="57.6" x14ac:dyDescent="0.3">
      <c r="A5" s="193" t="s">
        <v>166</v>
      </c>
      <c r="B5" s="195" t="s">
        <v>172</v>
      </c>
    </row>
    <row r="6" spans="1:2" x14ac:dyDescent="0.3">
      <c r="A6" s="193" t="s">
        <v>167</v>
      </c>
      <c r="B6" s="2"/>
    </row>
    <row r="7" spans="1:2" ht="28.8" x14ac:dyDescent="0.3">
      <c r="A7" s="193" t="s">
        <v>168</v>
      </c>
      <c r="B7" s="195" t="s">
        <v>173</v>
      </c>
    </row>
    <row r="8" spans="1:2" ht="28.8" x14ac:dyDescent="0.3">
      <c r="A8" s="193" t="s">
        <v>169</v>
      </c>
      <c r="B8" s="195" t="s">
        <v>174</v>
      </c>
    </row>
    <row r="9" spans="1:2" x14ac:dyDescent="0.3">
      <c r="A9" s="193" t="s">
        <v>170</v>
      </c>
      <c r="B9" s="2"/>
    </row>
    <row r="10" spans="1:2" x14ac:dyDescent="0.3">
      <c r="B10" s="2"/>
    </row>
    <row r="11" spans="1:2" x14ac:dyDescent="0.3">
      <c r="B11" s="2"/>
    </row>
    <row r="12" spans="1:2" x14ac:dyDescent="0.3">
      <c r="B12" s="2"/>
    </row>
    <row r="13" spans="1:2" x14ac:dyDescent="0.3">
      <c r="B13" s="2"/>
    </row>
    <row r="14" spans="1:2" x14ac:dyDescent="0.3">
      <c r="B1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AD8B-746B-9B41-9BC1-B1E6848A91AF}">
  <sheetPr codeName="Blad2">
    <tabColor theme="7" tint="-0.499984740745262"/>
    <pageSetUpPr fitToPage="1"/>
  </sheetPr>
  <dimension ref="A1:Y83"/>
  <sheetViews>
    <sheetView topLeftCell="C1" zoomScaleNormal="100" workbookViewId="0">
      <selection activeCell="O7" sqref="O7"/>
    </sheetView>
  </sheetViews>
  <sheetFormatPr defaultColWidth="11" defaultRowHeight="15.6" x14ac:dyDescent="0.3"/>
  <cols>
    <col min="1" max="1" width="5.8984375" customWidth="1"/>
    <col min="2" max="2" width="12.3984375" customWidth="1"/>
    <col min="3" max="3" width="14.09765625" customWidth="1"/>
    <col min="4" max="4" width="13.69921875" customWidth="1"/>
    <col min="5" max="5" width="2.09765625" customWidth="1"/>
    <col min="6" max="8" width="11.5" customWidth="1"/>
    <col min="9" max="9" width="2.19921875" customWidth="1"/>
    <col min="10" max="11" width="11.69921875" customWidth="1"/>
    <col min="12" max="12" width="2" customWidth="1"/>
    <col min="13" max="14" width="10.8984375" customWidth="1"/>
    <col min="15" max="15" width="11.3984375" customWidth="1"/>
    <col min="16" max="16" width="1.69921875" customWidth="1"/>
    <col min="17" max="18" width="9.5" customWidth="1"/>
    <col min="19" max="19" width="1.5" customWidth="1"/>
    <col min="20" max="20" width="12" customWidth="1"/>
    <col min="21" max="23" width="11" customWidth="1"/>
  </cols>
  <sheetData>
    <row r="1" spans="1:25" ht="16.2" thickBot="1" x14ac:dyDescent="0.35">
      <c r="A1" s="24" t="s">
        <v>56</v>
      </c>
      <c r="B1" s="23"/>
      <c r="C1" s="23"/>
      <c r="D1" s="23"/>
      <c r="E1" s="23"/>
      <c r="F1" s="23"/>
      <c r="G1" s="23"/>
      <c r="H1" s="23"/>
      <c r="I1" s="23"/>
      <c r="J1" s="23"/>
      <c r="K1" s="23"/>
      <c r="L1" s="23"/>
      <c r="M1" s="23"/>
      <c r="N1" s="23"/>
      <c r="O1" s="23"/>
      <c r="P1" s="23"/>
      <c r="Q1" s="23"/>
      <c r="R1" s="23"/>
      <c r="S1" s="23"/>
      <c r="T1" s="23"/>
      <c r="U1" s="23"/>
      <c r="V1" s="23"/>
      <c r="W1" s="23"/>
      <c r="X1" s="23"/>
      <c r="Y1" s="23"/>
    </row>
    <row r="2" spans="1:25" ht="16.2" thickBot="1" x14ac:dyDescent="0.35">
      <c r="A2" s="24"/>
      <c r="B2" s="23"/>
      <c r="C2" s="23"/>
      <c r="D2" s="23"/>
      <c r="E2" s="23"/>
      <c r="F2" s="23"/>
      <c r="G2" s="23"/>
      <c r="H2" s="23"/>
      <c r="I2" s="23"/>
      <c r="J2" s="23"/>
      <c r="K2" s="23"/>
      <c r="L2" s="23"/>
      <c r="M2" s="23"/>
      <c r="N2" s="23"/>
      <c r="O2" s="23"/>
      <c r="P2" s="23"/>
      <c r="Q2" s="289" t="s">
        <v>57</v>
      </c>
      <c r="R2" s="290"/>
      <c r="S2" s="23"/>
      <c r="T2" s="3"/>
      <c r="U2" s="4" t="s">
        <v>58</v>
      </c>
      <c r="V2" s="98">
        <f>'Input en resultaat'!D29</f>
        <v>0.7</v>
      </c>
      <c r="W2" s="5" t="s">
        <v>58</v>
      </c>
      <c r="X2" s="85">
        <f>'Input en resultaat'!D27</f>
        <v>0.8</v>
      </c>
      <c r="Y2" s="7"/>
    </row>
    <row r="3" spans="1:25" s="1" customFormat="1" ht="16.2" thickBot="1" x14ac:dyDescent="0.35">
      <c r="A3" s="24"/>
      <c r="B3" s="296" t="s">
        <v>59</v>
      </c>
      <c r="C3" s="296"/>
      <c r="D3" s="296"/>
      <c r="E3" s="24"/>
      <c r="F3" s="299" t="s">
        <v>60</v>
      </c>
      <c r="G3" s="299"/>
      <c r="H3" s="299"/>
      <c r="I3" s="24"/>
      <c r="J3" s="297" t="s">
        <v>61</v>
      </c>
      <c r="K3" s="297"/>
      <c r="L3" s="24"/>
      <c r="M3" s="298" t="s">
        <v>62</v>
      </c>
      <c r="N3" s="298"/>
      <c r="O3" s="298"/>
      <c r="P3" s="27"/>
      <c r="Q3" s="291" t="s">
        <v>63</v>
      </c>
      <c r="R3" s="291"/>
      <c r="S3" s="27"/>
      <c r="T3" s="90" t="s">
        <v>57</v>
      </c>
      <c r="U3" s="8"/>
      <c r="V3" s="86">
        <f>'Input en resultaat'!D28</f>
        <v>70</v>
      </c>
      <c r="W3" s="9"/>
      <c r="X3" s="87">
        <f>'Input en resultaat'!D26</f>
        <v>70</v>
      </c>
      <c r="Y3" s="90" t="s">
        <v>57</v>
      </c>
    </row>
    <row r="4" spans="1:25" s="2" customFormat="1" ht="47.4" thickBot="1" x14ac:dyDescent="0.35">
      <c r="A4" s="25"/>
      <c r="B4" s="34" t="s">
        <v>34</v>
      </c>
      <c r="C4" s="34" t="s">
        <v>64</v>
      </c>
      <c r="D4" s="34" t="s">
        <v>65</v>
      </c>
      <c r="E4" s="25"/>
      <c r="F4" s="39" t="s">
        <v>66</v>
      </c>
      <c r="G4" s="39" t="s">
        <v>67</v>
      </c>
      <c r="H4" s="39" t="s">
        <v>68</v>
      </c>
      <c r="I4" s="25"/>
      <c r="J4" s="41" t="s">
        <v>69</v>
      </c>
      <c r="K4" s="41" t="s">
        <v>65</v>
      </c>
      <c r="L4" s="25"/>
      <c r="M4" s="43" t="s">
        <v>70</v>
      </c>
      <c r="N4" s="43" t="s">
        <v>71</v>
      </c>
      <c r="O4" s="43" t="s">
        <v>72</v>
      </c>
      <c r="P4" s="28"/>
      <c r="Q4" s="80" t="s">
        <v>73</v>
      </c>
      <c r="R4" s="80"/>
      <c r="S4" s="28"/>
      <c r="T4" s="100" t="s">
        <v>74</v>
      </c>
      <c r="U4" s="292" t="s">
        <v>75</v>
      </c>
      <c r="V4" s="293"/>
      <c r="W4" s="294" t="s">
        <v>76</v>
      </c>
      <c r="X4" s="295"/>
      <c r="Y4" s="12" t="s">
        <v>77</v>
      </c>
    </row>
    <row r="5" spans="1:25" x14ac:dyDescent="0.3">
      <c r="A5" s="23">
        <v>2023</v>
      </c>
      <c r="B5" s="35">
        <f>F5</f>
        <v>1552</v>
      </c>
      <c r="C5" s="36">
        <f>J5</f>
        <v>-4696</v>
      </c>
      <c r="D5" s="36">
        <f>K5</f>
        <v>-4676.3999999999996</v>
      </c>
      <c r="E5" s="26"/>
      <c r="F5" s="40">
        <f>Mais!F5</f>
        <v>1552</v>
      </c>
      <c r="G5" s="40">
        <f>Mais!G5</f>
        <v>2924</v>
      </c>
      <c r="H5" s="40">
        <f>Mais!H5</f>
        <v>1372</v>
      </c>
      <c r="I5" s="26"/>
      <c r="J5" s="42">
        <f>Y5-M5-N5</f>
        <v>-4696</v>
      </c>
      <c r="K5" s="42">
        <f t="shared" ref="K5:K25" si="0">J5+V5+X5</f>
        <v>-4676.3999999999996</v>
      </c>
      <c r="L5" s="30"/>
      <c r="M5" s="44">
        <v>4190</v>
      </c>
      <c r="N5" s="44">
        <v>980</v>
      </c>
      <c r="O5" s="44">
        <f>0+'Input en resultaat'!K7+'Input en resultaat'!M7</f>
        <v>0</v>
      </c>
      <c r="P5" s="29"/>
      <c r="Q5" s="81">
        <v>0</v>
      </c>
      <c r="R5" s="81"/>
      <c r="S5" s="29"/>
      <c r="T5" s="101">
        <f>Q5*'Input en resultaat'!D$23</f>
        <v>0</v>
      </c>
      <c r="U5" s="126">
        <v>0.4</v>
      </c>
      <c r="V5" s="127">
        <f>U5*V$3*V$2</f>
        <v>19.599999999999998</v>
      </c>
      <c r="W5" s="15">
        <f>Q5*1.7*'Input en resultaat'!D$25</f>
        <v>0</v>
      </c>
      <c r="X5" s="16">
        <f t="shared" ref="X5:X25" si="1">W5*(X$3*X$2)</f>
        <v>0</v>
      </c>
      <c r="Y5" s="17">
        <f>'Input en resultaat'!D$30+'Input en resultaat'!D$31</f>
        <v>474</v>
      </c>
    </row>
    <row r="6" spans="1:25" x14ac:dyDescent="0.3">
      <c r="A6" s="23">
        <v>2024</v>
      </c>
      <c r="B6" s="35">
        <f>B5+F6</f>
        <v>3104</v>
      </c>
      <c r="C6" s="36">
        <f t="shared" ref="C6:C25" si="2">C5+J6</f>
        <v>-2769</v>
      </c>
      <c r="D6" s="36">
        <f t="shared" ref="D6:D25" si="3">D5+K6</f>
        <v>-2007.6099999999997</v>
      </c>
      <c r="E6" s="26"/>
      <c r="F6" s="40">
        <f>Mais!F6</f>
        <v>1552</v>
      </c>
      <c r="G6" s="40">
        <f>Mais!G6</f>
        <v>2924</v>
      </c>
      <c r="H6" s="40">
        <f>Mais!H6</f>
        <v>1372</v>
      </c>
      <c r="I6" s="26"/>
      <c r="J6" s="42">
        <f t="shared" ref="J6:J25" si="4">T6+Y6-M6-N6-O6</f>
        <v>1927</v>
      </c>
      <c r="K6" s="42">
        <f t="shared" si="0"/>
        <v>2668.79</v>
      </c>
      <c r="L6" s="30"/>
      <c r="M6" s="44">
        <v>200</v>
      </c>
      <c r="N6" s="44">
        <v>165</v>
      </c>
      <c r="O6" s="44">
        <f>450+(Q6*'Input en resultaat'!D$24*'Input en resultaat'!D$25)+'Input en resultaat'!K$7+'Input en resultaat'!M$7</f>
        <v>882</v>
      </c>
      <c r="P6" s="29"/>
      <c r="Q6" s="81">
        <f>'Input en resultaat'!D19</f>
        <v>9</v>
      </c>
      <c r="R6" s="81"/>
      <c r="S6" s="29"/>
      <c r="T6" s="13">
        <f>Q6*'Input en resultaat'!D$23</f>
        <v>2700</v>
      </c>
      <c r="U6" s="14">
        <v>1.1499999999999999</v>
      </c>
      <c r="V6" s="112">
        <f t="shared" ref="V6:V25" si="5">U6*V$3*V$2</f>
        <v>56.349999999999994</v>
      </c>
      <c r="W6" s="15">
        <f>Q6*1.7*'Input en resultaat'!D$25</f>
        <v>12.24</v>
      </c>
      <c r="X6" s="16">
        <f t="shared" si="1"/>
        <v>685.44</v>
      </c>
      <c r="Y6" s="17">
        <f>'Input en resultaat'!D$30+'Input en resultaat'!D$31</f>
        <v>474</v>
      </c>
    </row>
    <row r="7" spans="1:25" x14ac:dyDescent="0.3">
      <c r="A7" s="23">
        <v>2025</v>
      </c>
      <c r="B7" s="35">
        <f t="shared" ref="B7:B25" si="6">B6+F7</f>
        <v>4656</v>
      </c>
      <c r="C7" s="36">
        <f t="shared" si="2"/>
        <v>-199</v>
      </c>
      <c r="D7" s="36">
        <f t="shared" si="3"/>
        <v>1566.9600000000005</v>
      </c>
      <c r="E7" s="26"/>
      <c r="F7" s="40">
        <f>Mais!F7</f>
        <v>1552</v>
      </c>
      <c r="G7" s="40">
        <f>Mais!G7</f>
        <v>2924</v>
      </c>
      <c r="H7" s="40">
        <f>Mais!H7</f>
        <v>1372</v>
      </c>
      <c r="I7" s="26"/>
      <c r="J7" s="42">
        <f t="shared" si="4"/>
        <v>2570</v>
      </c>
      <c r="K7" s="42">
        <f t="shared" si="0"/>
        <v>3574.57</v>
      </c>
      <c r="L7" s="30"/>
      <c r="M7" s="44">
        <v>200</v>
      </c>
      <c r="N7" s="44">
        <v>278</v>
      </c>
      <c r="O7" s="44">
        <f>450+(Q7*'Input en resultaat'!D$24*'Input en resultaat'!D$25)+'Input en resultaat'!K$7+'Input en resultaat'!M$7</f>
        <v>1026</v>
      </c>
      <c r="P7" s="29"/>
      <c r="Q7" s="81">
        <f>'Input en resultaat'!D20</f>
        <v>12</v>
      </c>
      <c r="R7" s="81"/>
      <c r="S7" s="29"/>
      <c r="T7" s="13">
        <f>Q7*'Input en resultaat'!D$23</f>
        <v>3600</v>
      </c>
      <c r="U7" s="14">
        <v>1.85</v>
      </c>
      <c r="V7" s="112">
        <f t="shared" si="5"/>
        <v>90.649999999999991</v>
      </c>
      <c r="W7" s="15">
        <f>Q7*1.7*'Input en resultaat'!D$25</f>
        <v>16.32</v>
      </c>
      <c r="X7" s="16">
        <f t="shared" si="1"/>
        <v>913.92000000000007</v>
      </c>
      <c r="Y7" s="17">
        <f>'Input en resultaat'!D$30+'Input en resultaat'!D$31</f>
        <v>474</v>
      </c>
    </row>
    <row r="8" spans="1:25" x14ac:dyDescent="0.3">
      <c r="A8" s="23">
        <v>2026</v>
      </c>
      <c r="B8" s="35">
        <f t="shared" si="6"/>
        <v>6208</v>
      </c>
      <c r="C8" s="36">
        <f t="shared" si="2"/>
        <v>4196</v>
      </c>
      <c r="D8" s="36">
        <f t="shared" si="3"/>
        <v>7447.99</v>
      </c>
      <c r="E8" s="26"/>
      <c r="F8" s="40">
        <f>Mais!F8</f>
        <v>1552</v>
      </c>
      <c r="G8" s="40">
        <f>Mais!G8</f>
        <v>2924</v>
      </c>
      <c r="H8" s="40">
        <f>Mais!H8</f>
        <v>1372</v>
      </c>
      <c r="I8" s="26"/>
      <c r="J8" s="42">
        <f t="shared" si="4"/>
        <v>4395</v>
      </c>
      <c r="K8" s="42">
        <f t="shared" si="0"/>
        <v>5881.03</v>
      </c>
      <c r="L8" s="30"/>
      <c r="M8" s="44">
        <v>0</v>
      </c>
      <c r="N8" s="44">
        <v>165</v>
      </c>
      <c r="O8" s="44">
        <f>450+(Q8*'Input en resultaat'!D$24*'Input en resultaat'!D$25)+'Input en resultaat'!K$7+'Input en resultaat'!M$7</f>
        <v>1314</v>
      </c>
      <c r="P8" s="29"/>
      <c r="Q8" s="81">
        <f>'Input en resultaat'!D21</f>
        <v>18</v>
      </c>
      <c r="R8" s="81"/>
      <c r="S8" s="29"/>
      <c r="T8" s="13">
        <f>Q8*'Input en resultaat'!D$23</f>
        <v>5400</v>
      </c>
      <c r="U8" s="14">
        <v>2.35</v>
      </c>
      <c r="V8" s="112">
        <f t="shared" si="5"/>
        <v>115.14999999999999</v>
      </c>
      <c r="W8" s="15">
        <f>Q8*1.7*'Input en resultaat'!D$25</f>
        <v>24.48</v>
      </c>
      <c r="X8" s="16">
        <f t="shared" si="1"/>
        <v>1370.88</v>
      </c>
      <c r="Y8" s="17">
        <f>'Input en resultaat'!D$30+'Input en resultaat'!D$31</f>
        <v>474</v>
      </c>
    </row>
    <row r="9" spans="1:25" x14ac:dyDescent="0.3">
      <c r="A9" s="23">
        <v>2027</v>
      </c>
      <c r="B9" s="35">
        <f t="shared" si="6"/>
        <v>7760</v>
      </c>
      <c r="C9" s="36">
        <f t="shared" si="2"/>
        <v>8478</v>
      </c>
      <c r="D9" s="36">
        <f t="shared" si="3"/>
        <v>13216.02</v>
      </c>
      <c r="E9" s="26"/>
      <c r="F9" s="40">
        <f>Mais!F9</f>
        <v>1552</v>
      </c>
      <c r="G9" s="40">
        <f>Mais!G9</f>
        <v>2924</v>
      </c>
      <c r="H9" s="40">
        <f>Mais!H9</f>
        <v>1372</v>
      </c>
      <c r="I9" s="26"/>
      <c r="J9" s="42">
        <f t="shared" si="4"/>
        <v>4282</v>
      </c>
      <c r="K9" s="42">
        <f t="shared" si="0"/>
        <v>5768.03</v>
      </c>
      <c r="L9" s="30"/>
      <c r="M9" s="44">
        <v>0</v>
      </c>
      <c r="N9" s="44">
        <v>278</v>
      </c>
      <c r="O9" s="44">
        <f>450+(Q9*'Input en resultaat'!D$24*'Input en resultaat'!D$25)+'Input en resultaat'!K$7+'Input en resultaat'!M$7</f>
        <v>1314</v>
      </c>
      <c r="P9" s="29"/>
      <c r="Q9" s="81">
        <f>Q8</f>
        <v>18</v>
      </c>
      <c r="R9" s="81"/>
      <c r="S9" s="29"/>
      <c r="T9" s="13">
        <f>Q9*'Input en resultaat'!D$23</f>
        <v>5400</v>
      </c>
      <c r="U9" s="14">
        <v>2.35</v>
      </c>
      <c r="V9" s="112">
        <f t="shared" si="5"/>
        <v>115.14999999999999</v>
      </c>
      <c r="W9" s="15">
        <f>Q9*1.7*'Input en resultaat'!D$25</f>
        <v>24.48</v>
      </c>
      <c r="X9" s="16">
        <f t="shared" si="1"/>
        <v>1370.88</v>
      </c>
      <c r="Y9" s="17">
        <f>'Input en resultaat'!D$30+'Input en resultaat'!D$31</f>
        <v>474</v>
      </c>
    </row>
    <row r="10" spans="1:25" x14ac:dyDescent="0.3">
      <c r="A10" s="23">
        <v>2028</v>
      </c>
      <c r="B10" s="35">
        <f t="shared" si="6"/>
        <v>9312</v>
      </c>
      <c r="C10" s="36">
        <f t="shared" si="2"/>
        <v>12873</v>
      </c>
      <c r="D10" s="36">
        <f t="shared" si="3"/>
        <v>19097.05</v>
      </c>
      <c r="E10" s="26"/>
      <c r="F10" s="40">
        <f>Mais!F10</f>
        <v>1552</v>
      </c>
      <c r="G10" s="40">
        <f>Mais!G10</f>
        <v>2924</v>
      </c>
      <c r="H10" s="40">
        <f>Mais!H10</f>
        <v>1372</v>
      </c>
      <c r="I10" s="26"/>
      <c r="J10" s="42">
        <f t="shared" si="4"/>
        <v>4395</v>
      </c>
      <c r="K10" s="42">
        <f t="shared" si="0"/>
        <v>5881.03</v>
      </c>
      <c r="L10" s="30"/>
      <c r="M10" s="44">
        <v>0</v>
      </c>
      <c r="N10" s="44">
        <v>165</v>
      </c>
      <c r="O10" s="44">
        <f>450+(Q10*'Input en resultaat'!D$24*'Input en resultaat'!D$25)+'Input en resultaat'!K$7+'Input en resultaat'!M$7</f>
        <v>1314</v>
      </c>
      <c r="P10" s="29"/>
      <c r="Q10" s="81">
        <f t="shared" ref="Q10:Q25" si="7">Q9</f>
        <v>18</v>
      </c>
      <c r="R10" s="81"/>
      <c r="S10" s="29"/>
      <c r="T10" s="13">
        <f>Q10*'Input en resultaat'!D$23</f>
        <v>5400</v>
      </c>
      <c r="U10" s="14">
        <v>2.35</v>
      </c>
      <c r="V10" s="112">
        <f t="shared" si="5"/>
        <v>115.14999999999999</v>
      </c>
      <c r="W10" s="15">
        <f>Q10*1.7*'Input en resultaat'!D$25</f>
        <v>24.48</v>
      </c>
      <c r="X10" s="16">
        <f t="shared" si="1"/>
        <v>1370.88</v>
      </c>
      <c r="Y10" s="17">
        <f>'Input en resultaat'!D$30+'Input en resultaat'!D$31</f>
        <v>474</v>
      </c>
    </row>
    <row r="11" spans="1:25" x14ac:dyDescent="0.3">
      <c r="A11" s="23">
        <v>2029</v>
      </c>
      <c r="B11" s="35">
        <f t="shared" si="6"/>
        <v>10864</v>
      </c>
      <c r="C11" s="36">
        <f t="shared" si="2"/>
        <v>17155</v>
      </c>
      <c r="D11" s="36">
        <f t="shared" si="3"/>
        <v>24865.079999999998</v>
      </c>
      <c r="E11" s="26"/>
      <c r="F11" s="40">
        <f>Mais!F11</f>
        <v>1552</v>
      </c>
      <c r="G11" s="40">
        <f>Mais!G11</f>
        <v>2924</v>
      </c>
      <c r="H11" s="40">
        <f>Mais!H11</f>
        <v>1372</v>
      </c>
      <c r="I11" s="26"/>
      <c r="J11" s="42">
        <f t="shared" si="4"/>
        <v>4282</v>
      </c>
      <c r="K11" s="42">
        <f t="shared" si="0"/>
        <v>5768.03</v>
      </c>
      <c r="L11" s="30"/>
      <c r="M11" s="44">
        <v>0</v>
      </c>
      <c r="N11" s="44">
        <v>278</v>
      </c>
      <c r="O11" s="44">
        <f>450+(Q11*'Input en resultaat'!D$24*'Input en resultaat'!D$25)+'Input en resultaat'!K$7+'Input en resultaat'!M$7</f>
        <v>1314</v>
      </c>
      <c r="P11" s="29"/>
      <c r="Q11" s="81">
        <f t="shared" si="7"/>
        <v>18</v>
      </c>
      <c r="R11" s="81"/>
      <c r="S11" s="29"/>
      <c r="T11" s="13">
        <f>Q11*'Input en resultaat'!D$23</f>
        <v>5400</v>
      </c>
      <c r="U11" s="14">
        <v>2.35</v>
      </c>
      <c r="V11" s="112">
        <f t="shared" si="5"/>
        <v>115.14999999999999</v>
      </c>
      <c r="W11" s="15">
        <f>Q11*1.7*'Input en resultaat'!D$25</f>
        <v>24.48</v>
      </c>
      <c r="X11" s="16">
        <f t="shared" si="1"/>
        <v>1370.88</v>
      </c>
      <c r="Y11" s="17">
        <f>'Input en resultaat'!D$30+'Input en resultaat'!D$31</f>
        <v>474</v>
      </c>
    </row>
    <row r="12" spans="1:25" x14ac:dyDescent="0.3">
      <c r="A12" s="23">
        <v>2030</v>
      </c>
      <c r="B12" s="35">
        <f t="shared" si="6"/>
        <v>12416</v>
      </c>
      <c r="C12" s="36">
        <f t="shared" si="2"/>
        <v>21550</v>
      </c>
      <c r="D12" s="36">
        <f t="shared" si="3"/>
        <v>30746.109999999997</v>
      </c>
      <c r="E12" s="26"/>
      <c r="F12" s="40">
        <f>Mais!F12</f>
        <v>1552</v>
      </c>
      <c r="G12" s="40">
        <f>Mais!G12</f>
        <v>2924</v>
      </c>
      <c r="H12" s="40">
        <f>Mais!H12</f>
        <v>1372</v>
      </c>
      <c r="I12" s="26"/>
      <c r="J12" s="42">
        <f t="shared" si="4"/>
        <v>4395</v>
      </c>
      <c r="K12" s="42">
        <f t="shared" si="0"/>
        <v>5881.03</v>
      </c>
      <c r="L12" s="30"/>
      <c r="M12" s="44">
        <v>0</v>
      </c>
      <c r="N12" s="44">
        <v>165</v>
      </c>
      <c r="O12" s="44">
        <f>450+(Q12*'Input en resultaat'!D$24*'Input en resultaat'!D$25)+'Input en resultaat'!K$7+'Input en resultaat'!M$7</f>
        <v>1314</v>
      </c>
      <c r="P12" s="29"/>
      <c r="Q12" s="81">
        <f t="shared" si="7"/>
        <v>18</v>
      </c>
      <c r="R12" s="81"/>
      <c r="S12" s="29"/>
      <c r="T12" s="13">
        <f>Q12*'Input en resultaat'!D$23</f>
        <v>5400</v>
      </c>
      <c r="U12" s="14">
        <v>2.35</v>
      </c>
      <c r="V12" s="112">
        <f t="shared" si="5"/>
        <v>115.14999999999999</v>
      </c>
      <c r="W12" s="15">
        <f>Q12*1.7*'Input en resultaat'!D$25</f>
        <v>24.48</v>
      </c>
      <c r="X12" s="16">
        <f t="shared" si="1"/>
        <v>1370.88</v>
      </c>
      <c r="Y12" s="17">
        <f>'Input en resultaat'!D$30+'Input en resultaat'!D$31</f>
        <v>474</v>
      </c>
    </row>
    <row r="13" spans="1:25" x14ac:dyDescent="0.3">
      <c r="A13" s="23">
        <v>2031</v>
      </c>
      <c r="B13" s="35">
        <f t="shared" si="6"/>
        <v>13968</v>
      </c>
      <c r="C13" s="36">
        <f t="shared" si="2"/>
        <v>25832</v>
      </c>
      <c r="D13" s="36">
        <f t="shared" si="3"/>
        <v>36514.14</v>
      </c>
      <c r="E13" s="26"/>
      <c r="F13" s="40">
        <f>Mais!F13</f>
        <v>1552</v>
      </c>
      <c r="G13" s="40">
        <f>Mais!G13</f>
        <v>2924</v>
      </c>
      <c r="H13" s="40">
        <f>Mais!H13</f>
        <v>1372</v>
      </c>
      <c r="I13" s="26"/>
      <c r="J13" s="42">
        <f t="shared" si="4"/>
        <v>4282</v>
      </c>
      <c r="K13" s="42">
        <f t="shared" si="0"/>
        <v>5768.03</v>
      </c>
      <c r="L13" s="30"/>
      <c r="M13" s="44">
        <v>0</v>
      </c>
      <c r="N13" s="44">
        <v>278</v>
      </c>
      <c r="O13" s="44">
        <f>450+(Q13*'Input en resultaat'!D$24*'Input en resultaat'!D$25)+'Input en resultaat'!K$7+'Input en resultaat'!M$7</f>
        <v>1314</v>
      </c>
      <c r="P13" s="29"/>
      <c r="Q13" s="81">
        <f t="shared" si="7"/>
        <v>18</v>
      </c>
      <c r="R13" s="81"/>
      <c r="S13" s="29"/>
      <c r="T13" s="13">
        <f>Q13*'Input en resultaat'!D$23</f>
        <v>5400</v>
      </c>
      <c r="U13" s="14">
        <v>2.35</v>
      </c>
      <c r="V13" s="112">
        <f t="shared" si="5"/>
        <v>115.14999999999999</v>
      </c>
      <c r="W13" s="15">
        <f>Q13*1.7*'Input en resultaat'!D$25</f>
        <v>24.48</v>
      </c>
      <c r="X13" s="16">
        <f t="shared" si="1"/>
        <v>1370.88</v>
      </c>
      <c r="Y13" s="17">
        <f>'Input en resultaat'!D$30+'Input en resultaat'!D$31</f>
        <v>474</v>
      </c>
    </row>
    <row r="14" spans="1:25" x14ac:dyDescent="0.3">
      <c r="A14" s="23">
        <v>2032</v>
      </c>
      <c r="B14" s="35">
        <f t="shared" si="6"/>
        <v>15520</v>
      </c>
      <c r="C14" s="36">
        <f t="shared" si="2"/>
        <v>30227</v>
      </c>
      <c r="D14" s="36">
        <f t="shared" si="3"/>
        <v>42395.17</v>
      </c>
      <c r="E14" s="26"/>
      <c r="F14" s="40">
        <f>Mais!F14</f>
        <v>1552</v>
      </c>
      <c r="G14" s="40">
        <f>Mais!G14</f>
        <v>2924</v>
      </c>
      <c r="H14" s="40">
        <f>Mais!H14</f>
        <v>1372</v>
      </c>
      <c r="I14" s="26"/>
      <c r="J14" s="42">
        <f t="shared" si="4"/>
        <v>4395</v>
      </c>
      <c r="K14" s="42">
        <f t="shared" si="0"/>
        <v>5881.03</v>
      </c>
      <c r="L14" s="30"/>
      <c r="M14" s="44">
        <v>0</v>
      </c>
      <c r="N14" s="44">
        <v>165</v>
      </c>
      <c r="O14" s="44">
        <f>450+(Q14*'Input en resultaat'!D$24*'Input en resultaat'!D$25)+'Input en resultaat'!K$7+'Input en resultaat'!M$7</f>
        <v>1314</v>
      </c>
      <c r="P14" s="29"/>
      <c r="Q14" s="81">
        <f t="shared" si="7"/>
        <v>18</v>
      </c>
      <c r="R14" s="81"/>
      <c r="S14" s="29"/>
      <c r="T14" s="13">
        <f>Q14*'Input en resultaat'!D$23</f>
        <v>5400</v>
      </c>
      <c r="U14" s="14">
        <v>2.35</v>
      </c>
      <c r="V14" s="112">
        <f t="shared" si="5"/>
        <v>115.14999999999999</v>
      </c>
      <c r="W14" s="15">
        <f>Q14*1.7*'Input en resultaat'!D$25</f>
        <v>24.48</v>
      </c>
      <c r="X14" s="16">
        <f t="shared" si="1"/>
        <v>1370.88</v>
      </c>
      <c r="Y14" s="17">
        <f>'Input en resultaat'!D$30+'Input en resultaat'!D$31</f>
        <v>474</v>
      </c>
    </row>
    <row r="15" spans="1:25" x14ac:dyDescent="0.3">
      <c r="A15" s="23">
        <v>2033</v>
      </c>
      <c r="B15" s="35">
        <f t="shared" si="6"/>
        <v>17072</v>
      </c>
      <c r="C15" s="36">
        <f t="shared" si="2"/>
        <v>34509</v>
      </c>
      <c r="D15" s="36">
        <f t="shared" si="3"/>
        <v>48163.199999999997</v>
      </c>
      <c r="E15" s="26"/>
      <c r="F15" s="40">
        <f>Mais!F15</f>
        <v>1552</v>
      </c>
      <c r="G15" s="40">
        <f>Mais!G15</f>
        <v>2924</v>
      </c>
      <c r="H15" s="40">
        <f>Mais!H15</f>
        <v>1372</v>
      </c>
      <c r="I15" s="26"/>
      <c r="J15" s="42">
        <f t="shared" si="4"/>
        <v>4282</v>
      </c>
      <c r="K15" s="42">
        <f t="shared" si="0"/>
        <v>5768.03</v>
      </c>
      <c r="L15" s="30"/>
      <c r="M15" s="44">
        <v>0</v>
      </c>
      <c r="N15" s="44">
        <v>278</v>
      </c>
      <c r="O15" s="44">
        <f>450+(Q15*'Input en resultaat'!D$24*'Input en resultaat'!D$25)+'Input en resultaat'!K$7+'Input en resultaat'!M$7</f>
        <v>1314</v>
      </c>
      <c r="P15" s="29"/>
      <c r="Q15" s="81">
        <f t="shared" si="7"/>
        <v>18</v>
      </c>
      <c r="R15" s="81"/>
      <c r="S15" s="29"/>
      <c r="T15" s="13">
        <f>Q15*'Input en resultaat'!D$23</f>
        <v>5400</v>
      </c>
      <c r="U15" s="14">
        <v>2.35</v>
      </c>
      <c r="V15" s="112">
        <f t="shared" si="5"/>
        <v>115.14999999999999</v>
      </c>
      <c r="W15" s="15">
        <f>Q15*1.7*'Input en resultaat'!D$25</f>
        <v>24.48</v>
      </c>
      <c r="X15" s="16">
        <f t="shared" si="1"/>
        <v>1370.88</v>
      </c>
      <c r="Y15" s="17">
        <f>'Input en resultaat'!D$30+'Input en resultaat'!D$31</f>
        <v>474</v>
      </c>
    </row>
    <row r="16" spans="1:25" x14ac:dyDescent="0.3">
      <c r="A16" s="23">
        <v>2034</v>
      </c>
      <c r="B16" s="35">
        <f t="shared" si="6"/>
        <v>18624</v>
      </c>
      <c r="C16" s="36">
        <f t="shared" si="2"/>
        <v>38904</v>
      </c>
      <c r="D16" s="36">
        <f t="shared" si="3"/>
        <v>54044.229999999996</v>
      </c>
      <c r="E16" s="26"/>
      <c r="F16" s="40">
        <f>Mais!F16</f>
        <v>1552</v>
      </c>
      <c r="G16" s="40">
        <f>Mais!G16</f>
        <v>2924</v>
      </c>
      <c r="H16" s="40">
        <f>Mais!H16</f>
        <v>1372</v>
      </c>
      <c r="I16" s="26"/>
      <c r="J16" s="42">
        <f t="shared" si="4"/>
        <v>4395</v>
      </c>
      <c r="K16" s="42">
        <f t="shared" si="0"/>
        <v>5881.03</v>
      </c>
      <c r="L16" s="30"/>
      <c r="M16" s="44">
        <v>0</v>
      </c>
      <c r="N16" s="44">
        <v>165</v>
      </c>
      <c r="O16" s="44">
        <f>450+(Q16*'Input en resultaat'!D$24*'Input en resultaat'!D$25)+'Input en resultaat'!K$7+'Input en resultaat'!M$7</f>
        <v>1314</v>
      </c>
      <c r="P16" s="29"/>
      <c r="Q16" s="81">
        <f t="shared" si="7"/>
        <v>18</v>
      </c>
      <c r="R16" s="81"/>
      <c r="S16" s="29"/>
      <c r="T16" s="13">
        <f>Q16*'Input en resultaat'!D$23</f>
        <v>5400</v>
      </c>
      <c r="U16" s="14">
        <v>2.35</v>
      </c>
      <c r="V16" s="112">
        <f t="shared" si="5"/>
        <v>115.14999999999999</v>
      </c>
      <c r="W16" s="15">
        <f>Q16*1.7*'Input en resultaat'!D$25</f>
        <v>24.48</v>
      </c>
      <c r="X16" s="16">
        <f t="shared" si="1"/>
        <v>1370.88</v>
      </c>
      <c r="Y16" s="17">
        <f>'Input en resultaat'!D$30+'Input en resultaat'!D$31</f>
        <v>474</v>
      </c>
    </row>
    <row r="17" spans="1:25" x14ac:dyDescent="0.3">
      <c r="A17" s="23">
        <v>2035</v>
      </c>
      <c r="B17" s="35">
        <f t="shared" si="6"/>
        <v>20176</v>
      </c>
      <c r="C17" s="36">
        <f t="shared" si="2"/>
        <v>43186</v>
      </c>
      <c r="D17" s="36">
        <f t="shared" si="3"/>
        <v>59812.259999999995</v>
      </c>
      <c r="E17" s="26"/>
      <c r="F17" s="40">
        <f>Mais!F17</f>
        <v>1552</v>
      </c>
      <c r="G17" s="40">
        <f>Mais!G17</f>
        <v>2924</v>
      </c>
      <c r="H17" s="40">
        <f>Mais!H17</f>
        <v>1372</v>
      </c>
      <c r="I17" s="26"/>
      <c r="J17" s="42">
        <f t="shared" si="4"/>
        <v>4282</v>
      </c>
      <c r="K17" s="42">
        <f t="shared" si="0"/>
        <v>5768.03</v>
      </c>
      <c r="L17" s="30"/>
      <c r="M17" s="44">
        <v>0</v>
      </c>
      <c r="N17" s="44">
        <v>278</v>
      </c>
      <c r="O17" s="44">
        <f>450+(Q17*'Input en resultaat'!D$24*'Input en resultaat'!D$25)+'Input en resultaat'!K$7+'Input en resultaat'!M$7</f>
        <v>1314</v>
      </c>
      <c r="P17" s="29"/>
      <c r="Q17" s="81">
        <f t="shared" si="7"/>
        <v>18</v>
      </c>
      <c r="R17" s="81"/>
      <c r="S17" s="29"/>
      <c r="T17" s="13">
        <f>Q17*'Input en resultaat'!D$23</f>
        <v>5400</v>
      </c>
      <c r="U17" s="14">
        <v>2.35</v>
      </c>
      <c r="V17" s="112">
        <f t="shared" si="5"/>
        <v>115.14999999999999</v>
      </c>
      <c r="W17" s="15">
        <f>Q17*1.7*'Input en resultaat'!D$25</f>
        <v>24.48</v>
      </c>
      <c r="X17" s="16">
        <f t="shared" si="1"/>
        <v>1370.88</v>
      </c>
      <c r="Y17" s="17">
        <f>'Input en resultaat'!D$30+'Input en resultaat'!D$31</f>
        <v>474</v>
      </c>
    </row>
    <row r="18" spans="1:25" x14ac:dyDescent="0.3">
      <c r="A18" s="23">
        <v>2036</v>
      </c>
      <c r="B18" s="35">
        <f t="shared" si="6"/>
        <v>21728</v>
      </c>
      <c r="C18" s="36">
        <f t="shared" si="2"/>
        <v>47581</v>
      </c>
      <c r="D18" s="36">
        <f t="shared" si="3"/>
        <v>65693.289999999994</v>
      </c>
      <c r="E18" s="26"/>
      <c r="F18" s="40">
        <f>Mais!F18</f>
        <v>1552</v>
      </c>
      <c r="G18" s="40">
        <f>Mais!G18</f>
        <v>2924</v>
      </c>
      <c r="H18" s="40">
        <f>Mais!H18</f>
        <v>1372</v>
      </c>
      <c r="I18" s="26"/>
      <c r="J18" s="42">
        <f t="shared" si="4"/>
        <v>4395</v>
      </c>
      <c r="K18" s="42">
        <f t="shared" si="0"/>
        <v>5881.03</v>
      </c>
      <c r="L18" s="30"/>
      <c r="M18" s="44">
        <v>0</v>
      </c>
      <c r="N18" s="44">
        <v>165</v>
      </c>
      <c r="O18" s="44">
        <f>450+(Q18*'Input en resultaat'!D$24*'Input en resultaat'!D$25)+'Input en resultaat'!K$7+'Input en resultaat'!M$7</f>
        <v>1314</v>
      </c>
      <c r="P18" s="29"/>
      <c r="Q18" s="81">
        <f t="shared" si="7"/>
        <v>18</v>
      </c>
      <c r="R18" s="81"/>
      <c r="S18" s="29"/>
      <c r="T18" s="13">
        <f>Q18*'Input en resultaat'!D$23</f>
        <v>5400</v>
      </c>
      <c r="U18" s="14">
        <v>2.35</v>
      </c>
      <c r="V18" s="112">
        <f t="shared" si="5"/>
        <v>115.14999999999999</v>
      </c>
      <c r="W18" s="15">
        <f>Q18*1.7*'Input en resultaat'!D$25</f>
        <v>24.48</v>
      </c>
      <c r="X18" s="16">
        <f t="shared" si="1"/>
        <v>1370.88</v>
      </c>
      <c r="Y18" s="17">
        <f>'Input en resultaat'!D$30+'Input en resultaat'!D$31</f>
        <v>474</v>
      </c>
    </row>
    <row r="19" spans="1:25" x14ac:dyDescent="0.3">
      <c r="A19" s="23">
        <v>2037</v>
      </c>
      <c r="B19" s="35">
        <f t="shared" si="6"/>
        <v>23280</v>
      </c>
      <c r="C19" s="36">
        <f t="shared" si="2"/>
        <v>51863</v>
      </c>
      <c r="D19" s="36">
        <f t="shared" si="3"/>
        <v>71461.319999999992</v>
      </c>
      <c r="E19" s="26"/>
      <c r="F19" s="40">
        <f>Mais!F19</f>
        <v>1552</v>
      </c>
      <c r="G19" s="40">
        <f>Mais!G19</f>
        <v>2924</v>
      </c>
      <c r="H19" s="40">
        <f>Mais!H19</f>
        <v>1372</v>
      </c>
      <c r="I19" s="26"/>
      <c r="J19" s="42">
        <f t="shared" si="4"/>
        <v>4282</v>
      </c>
      <c r="K19" s="42">
        <f t="shared" si="0"/>
        <v>5768.03</v>
      </c>
      <c r="L19" s="30"/>
      <c r="M19" s="44">
        <v>0</v>
      </c>
      <c r="N19" s="44">
        <v>278</v>
      </c>
      <c r="O19" s="44">
        <f>450+(Q19*'Input en resultaat'!D$24*'Input en resultaat'!D$25)+'Input en resultaat'!K$7+'Input en resultaat'!M$7</f>
        <v>1314</v>
      </c>
      <c r="P19" s="29"/>
      <c r="Q19" s="81">
        <f t="shared" si="7"/>
        <v>18</v>
      </c>
      <c r="R19" s="81"/>
      <c r="S19" s="29"/>
      <c r="T19" s="13">
        <f>Q19*'Input en resultaat'!D$23</f>
        <v>5400</v>
      </c>
      <c r="U19" s="14">
        <v>2.35</v>
      </c>
      <c r="V19" s="112">
        <f t="shared" si="5"/>
        <v>115.14999999999999</v>
      </c>
      <c r="W19" s="15">
        <f>Q19*1.7*'Input en resultaat'!D$25</f>
        <v>24.48</v>
      </c>
      <c r="X19" s="16">
        <f t="shared" si="1"/>
        <v>1370.88</v>
      </c>
      <c r="Y19" s="17">
        <f>'Input en resultaat'!D$30+'Input en resultaat'!D$31</f>
        <v>474</v>
      </c>
    </row>
    <row r="20" spans="1:25" x14ac:dyDescent="0.3">
      <c r="A20" s="23">
        <v>2038</v>
      </c>
      <c r="B20" s="35">
        <f t="shared" si="6"/>
        <v>24832</v>
      </c>
      <c r="C20" s="36">
        <f t="shared" si="2"/>
        <v>56258</v>
      </c>
      <c r="D20" s="36">
        <f t="shared" si="3"/>
        <v>77342.349999999991</v>
      </c>
      <c r="E20" s="26"/>
      <c r="F20" s="40">
        <f>Mais!F20</f>
        <v>1552</v>
      </c>
      <c r="G20" s="40">
        <f>Mais!G20</f>
        <v>2924</v>
      </c>
      <c r="H20" s="40">
        <f>Mais!H20</f>
        <v>1372</v>
      </c>
      <c r="I20" s="26"/>
      <c r="J20" s="42">
        <f t="shared" si="4"/>
        <v>4395</v>
      </c>
      <c r="K20" s="42">
        <f t="shared" si="0"/>
        <v>5881.03</v>
      </c>
      <c r="L20" s="30"/>
      <c r="M20" s="44">
        <v>0</v>
      </c>
      <c r="N20" s="44">
        <v>165</v>
      </c>
      <c r="O20" s="44">
        <f>450+(Q20*'Input en resultaat'!D$24*'Input en resultaat'!D$25)+'Input en resultaat'!K$7+'Input en resultaat'!M$7</f>
        <v>1314</v>
      </c>
      <c r="P20" s="29"/>
      <c r="Q20" s="81">
        <f t="shared" si="7"/>
        <v>18</v>
      </c>
      <c r="R20" s="81"/>
      <c r="S20" s="29"/>
      <c r="T20" s="13">
        <f>Q20*'Input en resultaat'!D$23</f>
        <v>5400</v>
      </c>
      <c r="U20" s="14">
        <v>2.35</v>
      </c>
      <c r="V20" s="112">
        <f t="shared" si="5"/>
        <v>115.14999999999999</v>
      </c>
      <c r="W20" s="15">
        <f>Q20*1.7*'Input en resultaat'!D$25</f>
        <v>24.48</v>
      </c>
      <c r="X20" s="16">
        <f t="shared" si="1"/>
        <v>1370.88</v>
      </c>
      <c r="Y20" s="17">
        <f>'Input en resultaat'!D$30+'Input en resultaat'!D$31</f>
        <v>474</v>
      </c>
    </row>
    <row r="21" spans="1:25" x14ac:dyDescent="0.3">
      <c r="A21" s="23">
        <v>2039</v>
      </c>
      <c r="B21" s="35">
        <f t="shared" si="6"/>
        <v>26384</v>
      </c>
      <c r="C21" s="36">
        <f t="shared" si="2"/>
        <v>60540</v>
      </c>
      <c r="D21" s="36">
        <f t="shared" si="3"/>
        <v>83110.37999999999</v>
      </c>
      <c r="E21" s="26"/>
      <c r="F21" s="40">
        <f>Mais!F21</f>
        <v>1552</v>
      </c>
      <c r="G21" s="40">
        <f>Mais!G21</f>
        <v>2924</v>
      </c>
      <c r="H21" s="40">
        <f>Mais!H21</f>
        <v>1372</v>
      </c>
      <c r="I21" s="26"/>
      <c r="J21" s="42">
        <f t="shared" si="4"/>
        <v>4282</v>
      </c>
      <c r="K21" s="42">
        <f t="shared" si="0"/>
        <v>5768.03</v>
      </c>
      <c r="L21" s="30"/>
      <c r="M21" s="44">
        <v>0</v>
      </c>
      <c r="N21" s="44">
        <v>278</v>
      </c>
      <c r="O21" s="44">
        <f>450+(Q21*'Input en resultaat'!D$24*'Input en resultaat'!D$25)+'Input en resultaat'!K$7+'Input en resultaat'!M$7</f>
        <v>1314</v>
      </c>
      <c r="P21" s="29"/>
      <c r="Q21" s="81">
        <f t="shared" si="7"/>
        <v>18</v>
      </c>
      <c r="R21" s="81"/>
      <c r="S21" s="29"/>
      <c r="T21" s="13">
        <f>Q21*'Input en resultaat'!D$23</f>
        <v>5400</v>
      </c>
      <c r="U21" s="14">
        <v>2.35</v>
      </c>
      <c r="V21" s="112">
        <f t="shared" si="5"/>
        <v>115.14999999999999</v>
      </c>
      <c r="W21" s="15">
        <f>Q21*1.7*'Input en resultaat'!D$25</f>
        <v>24.48</v>
      </c>
      <c r="X21" s="16">
        <f t="shared" si="1"/>
        <v>1370.88</v>
      </c>
      <c r="Y21" s="17">
        <f>'Input en resultaat'!D$30+'Input en resultaat'!D$31</f>
        <v>474</v>
      </c>
    </row>
    <row r="22" spans="1:25" x14ac:dyDescent="0.3">
      <c r="A22" s="23">
        <v>2040</v>
      </c>
      <c r="B22" s="35">
        <f t="shared" si="6"/>
        <v>27936</v>
      </c>
      <c r="C22" s="36">
        <f t="shared" si="2"/>
        <v>64935</v>
      </c>
      <c r="D22" s="36">
        <f t="shared" si="3"/>
        <v>88991.409999999989</v>
      </c>
      <c r="E22" s="26"/>
      <c r="F22" s="40">
        <f>Mais!F22</f>
        <v>1552</v>
      </c>
      <c r="G22" s="40">
        <f>Mais!G22</f>
        <v>2924</v>
      </c>
      <c r="H22" s="40">
        <f>Mais!H22</f>
        <v>1372</v>
      </c>
      <c r="I22" s="26"/>
      <c r="J22" s="42">
        <f t="shared" si="4"/>
        <v>4395</v>
      </c>
      <c r="K22" s="42">
        <f t="shared" si="0"/>
        <v>5881.03</v>
      </c>
      <c r="L22" s="30"/>
      <c r="M22" s="44">
        <v>0</v>
      </c>
      <c r="N22" s="44">
        <v>165</v>
      </c>
      <c r="O22" s="44">
        <f>450+(Q22*'Input en resultaat'!D$24*'Input en resultaat'!D$25)+'Input en resultaat'!K$7+'Input en resultaat'!M$7</f>
        <v>1314</v>
      </c>
      <c r="P22" s="29"/>
      <c r="Q22" s="81">
        <f t="shared" si="7"/>
        <v>18</v>
      </c>
      <c r="R22" s="81"/>
      <c r="S22" s="29"/>
      <c r="T22" s="13">
        <f>Q22*'Input en resultaat'!D$23</f>
        <v>5400</v>
      </c>
      <c r="U22" s="14">
        <v>2.35</v>
      </c>
      <c r="V22" s="112">
        <f t="shared" si="5"/>
        <v>115.14999999999999</v>
      </c>
      <c r="W22" s="15">
        <f>Q22*1.7*'Input en resultaat'!D$25</f>
        <v>24.48</v>
      </c>
      <c r="X22" s="16">
        <f t="shared" si="1"/>
        <v>1370.88</v>
      </c>
      <c r="Y22" s="17">
        <f>'Input en resultaat'!D$30+'Input en resultaat'!D$31</f>
        <v>474</v>
      </c>
    </row>
    <row r="23" spans="1:25" x14ac:dyDescent="0.3">
      <c r="A23" s="23">
        <v>2041</v>
      </c>
      <c r="B23" s="35">
        <f t="shared" si="6"/>
        <v>29488</v>
      </c>
      <c r="C23" s="36">
        <f t="shared" si="2"/>
        <v>69217</v>
      </c>
      <c r="D23" s="36">
        <f t="shared" si="3"/>
        <v>94759.439999999988</v>
      </c>
      <c r="E23" s="26"/>
      <c r="F23" s="40">
        <f>Mais!F23</f>
        <v>1552</v>
      </c>
      <c r="G23" s="40">
        <f>Mais!G23</f>
        <v>2924</v>
      </c>
      <c r="H23" s="40">
        <f>Mais!H23</f>
        <v>1372</v>
      </c>
      <c r="I23" s="26"/>
      <c r="J23" s="42">
        <f t="shared" si="4"/>
        <v>4282</v>
      </c>
      <c r="K23" s="42">
        <f t="shared" si="0"/>
        <v>5768.03</v>
      </c>
      <c r="L23" s="30"/>
      <c r="M23" s="44">
        <v>0</v>
      </c>
      <c r="N23" s="44">
        <v>278</v>
      </c>
      <c r="O23" s="44">
        <f>450+(Q23*'Input en resultaat'!D$24*'Input en resultaat'!D$25)+'Input en resultaat'!K$7+'Input en resultaat'!M$7</f>
        <v>1314</v>
      </c>
      <c r="P23" s="29"/>
      <c r="Q23" s="81">
        <f t="shared" si="7"/>
        <v>18</v>
      </c>
      <c r="R23" s="81"/>
      <c r="S23" s="29"/>
      <c r="T23" s="13">
        <f>Q23*'Input en resultaat'!D$23</f>
        <v>5400</v>
      </c>
      <c r="U23" s="14">
        <v>2.35</v>
      </c>
      <c r="V23" s="112">
        <f t="shared" si="5"/>
        <v>115.14999999999999</v>
      </c>
      <c r="W23" s="15">
        <f>Q23*1.7*'Input en resultaat'!D$25</f>
        <v>24.48</v>
      </c>
      <c r="X23" s="16">
        <f t="shared" si="1"/>
        <v>1370.88</v>
      </c>
      <c r="Y23" s="17">
        <f>'Input en resultaat'!D$30+'Input en resultaat'!D$31</f>
        <v>474</v>
      </c>
    </row>
    <row r="24" spans="1:25" x14ac:dyDescent="0.3">
      <c r="A24" s="23">
        <v>2042</v>
      </c>
      <c r="B24" s="35">
        <f t="shared" si="6"/>
        <v>31040</v>
      </c>
      <c r="C24" s="36">
        <f t="shared" si="2"/>
        <v>73777</v>
      </c>
      <c r="D24" s="36">
        <f t="shared" si="3"/>
        <v>100805.46999999999</v>
      </c>
      <c r="E24" s="26"/>
      <c r="F24" s="40">
        <f>Mais!F24</f>
        <v>1552</v>
      </c>
      <c r="G24" s="40">
        <f>Mais!G24</f>
        <v>2924</v>
      </c>
      <c r="H24" s="40">
        <f>Mais!H24</f>
        <v>1372</v>
      </c>
      <c r="I24" s="26"/>
      <c r="J24" s="42">
        <f t="shared" si="4"/>
        <v>4560</v>
      </c>
      <c r="K24" s="42">
        <f t="shared" si="0"/>
        <v>6046.03</v>
      </c>
      <c r="L24" s="30"/>
      <c r="M24" s="44">
        <v>0</v>
      </c>
      <c r="N24" s="44">
        <v>0</v>
      </c>
      <c r="O24" s="44">
        <f>450+(Q24*'Input en resultaat'!D$24*'Input en resultaat'!D$25)+'Input en resultaat'!K$7+'Input en resultaat'!M$7</f>
        <v>1314</v>
      </c>
      <c r="P24" s="29"/>
      <c r="Q24" s="81">
        <f t="shared" si="7"/>
        <v>18</v>
      </c>
      <c r="R24" s="81"/>
      <c r="S24" s="29"/>
      <c r="T24" s="13">
        <f>Q24*'Input en resultaat'!D$23</f>
        <v>5400</v>
      </c>
      <c r="U24" s="14">
        <v>2.35</v>
      </c>
      <c r="V24" s="112">
        <f t="shared" si="5"/>
        <v>115.14999999999999</v>
      </c>
      <c r="W24" s="15">
        <f>Q24*1.7*'Input en resultaat'!D$25</f>
        <v>24.48</v>
      </c>
      <c r="X24" s="16">
        <f t="shared" si="1"/>
        <v>1370.88</v>
      </c>
      <c r="Y24" s="17">
        <f>'Input en resultaat'!D$30+'Input en resultaat'!D$31</f>
        <v>474</v>
      </c>
    </row>
    <row r="25" spans="1:25" ht="16.2" thickBot="1" x14ac:dyDescent="0.35">
      <c r="A25" s="23">
        <v>2043</v>
      </c>
      <c r="B25" s="35">
        <f t="shared" si="6"/>
        <v>32592</v>
      </c>
      <c r="C25" s="36">
        <f t="shared" si="2"/>
        <v>78337</v>
      </c>
      <c r="D25" s="36">
        <f t="shared" si="3"/>
        <v>106851.49999999999</v>
      </c>
      <c r="E25" s="26"/>
      <c r="F25" s="40">
        <f>Mais!F25</f>
        <v>1552</v>
      </c>
      <c r="G25" s="40">
        <f>Mais!G25</f>
        <v>2924</v>
      </c>
      <c r="H25" s="40">
        <f>Mais!H25</f>
        <v>1372</v>
      </c>
      <c r="I25" s="26"/>
      <c r="J25" s="42">
        <f t="shared" si="4"/>
        <v>4560</v>
      </c>
      <c r="K25" s="42">
        <f t="shared" si="0"/>
        <v>6046.03</v>
      </c>
      <c r="L25" s="30"/>
      <c r="M25" s="44">
        <v>0</v>
      </c>
      <c r="N25" s="44">
        <v>0</v>
      </c>
      <c r="O25" s="44">
        <f>450+(Q25*'Input en resultaat'!D$24*'Input en resultaat'!D$25)+'Input en resultaat'!K$7+'Input en resultaat'!M$7</f>
        <v>1314</v>
      </c>
      <c r="P25" s="29"/>
      <c r="Q25" s="81">
        <f t="shared" si="7"/>
        <v>18</v>
      </c>
      <c r="R25" s="81"/>
      <c r="S25" s="29"/>
      <c r="T25" s="18">
        <f>Q25*'Input en resultaat'!D$23</f>
        <v>5400</v>
      </c>
      <c r="U25" s="19">
        <v>2.35</v>
      </c>
      <c r="V25" s="113">
        <f t="shared" si="5"/>
        <v>115.14999999999999</v>
      </c>
      <c r="W25" s="20">
        <f>Q25*1.7*'Input en resultaat'!D$25</f>
        <v>24.48</v>
      </c>
      <c r="X25" s="21">
        <f t="shared" si="1"/>
        <v>1370.88</v>
      </c>
      <c r="Y25" s="17">
        <f>'Input en resultaat'!D$30+'Input en resultaat'!D$31</f>
        <v>474</v>
      </c>
    </row>
    <row r="26" spans="1:25" x14ac:dyDescent="0.3">
      <c r="A26" s="23"/>
      <c r="B26" s="30"/>
      <c r="C26" s="23"/>
      <c r="D26" s="37" t="s">
        <v>78</v>
      </c>
      <c r="E26" s="31"/>
      <c r="F26" s="38">
        <f>AVERAGE(F5:F25)</f>
        <v>1552</v>
      </c>
      <c r="G26" s="31"/>
      <c r="H26" s="31"/>
      <c r="I26" s="31"/>
      <c r="J26" s="38">
        <f>AVERAGE(J5:J25)</f>
        <v>3730.3333333333335</v>
      </c>
      <c r="K26" s="38">
        <f>AVERAGE(K5:K25)</f>
        <v>5088.1666666666661</v>
      </c>
      <c r="L26" s="23"/>
      <c r="M26" s="23"/>
      <c r="N26" s="23"/>
      <c r="O26" s="23"/>
      <c r="P26" s="23"/>
      <c r="Q26" s="23"/>
      <c r="R26" s="23"/>
      <c r="S26" s="23"/>
      <c r="T26" s="23"/>
      <c r="U26" s="23"/>
      <c r="V26" s="23"/>
      <c r="W26" s="23"/>
      <c r="X26" s="23"/>
      <c r="Y26" s="23"/>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23" customFormat="1" x14ac:dyDescent="0.3"/>
    <row r="50" s="23" customFormat="1" x14ac:dyDescent="0.3"/>
    <row r="51" s="23" customFormat="1" x14ac:dyDescent="0.3"/>
    <row r="52" s="23" customFormat="1" x14ac:dyDescent="0.3"/>
    <row r="53" s="23" customFormat="1" x14ac:dyDescent="0.3"/>
    <row r="54" s="23" customFormat="1" x14ac:dyDescent="0.3"/>
    <row r="55" s="23" customFormat="1" x14ac:dyDescent="0.3"/>
    <row r="56" s="23" customFormat="1" x14ac:dyDescent="0.3"/>
    <row r="57" s="23" customFormat="1" x14ac:dyDescent="0.3"/>
    <row r="58" s="23" customFormat="1" x14ac:dyDescent="0.3"/>
    <row r="59" s="23" customFormat="1" x14ac:dyDescent="0.3"/>
    <row r="60" s="23" customFormat="1" x14ac:dyDescent="0.3"/>
    <row r="61" s="23" customFormat="1" x14ac:dyDescent="0.3"/>
    <row r="62" s="23" customFormat="1" x14ac:dyDescent="0.3"/>
    <row r="63" s="23" customFormat="1" x14ac:dyDescent="0.3"/>
    <row r="64" s="23" customFormat="1" x14ac:dyDescent="0.3"/>
    <row r="65" s="23" customFormat="1" x14ac:dyDescent="0.3"/>
    <row r="66" s="23" customFormat="1" x14ac:dyDescent="0.3"/>
    <row r="67" s="23" customFormat="1" x14ac:dyDescent="0.3"/>
    <row r="68" s="23" customFormat="1" x14ac:dyDescent="0.3"/>
    <row r="69" s="23" customFormat="1" x14ac:dyDescent="0.3"/>
    <row r="70" s="23" customFormat="1" x14ac:dyDescent="0.3"/>
    <row r="71" s="23" customFormat="1" x14ac:dyDescent="0.3"/>
    <row r="72" s="23" customFormat="1" x14ac:dyDescent="0.3"/>
    <row r="73" s="23" customFormat="1" x14ac:dyDescent="0.3"/>
    <row r="74" s="23" customFormat="1" x14ac:dyDescent="0.3"/>
    <row r="75" s="23" customFormat="1" x14ac:dyDescent="0.3"/>
    <row r="76" s="23" customFormat="1" x14ac:dyDescent="0.3"/>
    <row r="77" s="23" customFormat="1" x14ac:dyDescent="0.3"/>
    <row r="78" s="23" customFormat="1" x14ac:dyDescent="0.3"/>
    <row r="79" s="23" customFormat="1" x14ac:dyDescent="0.3"/>
    <row r="80" s="23" customFormat="1" x14ac:dyDescent="0.3"/>
    <row r="81" s="23" customFormat="1" x14ac:dyDescent="0.3"/>
    <row r="82" s="23" customFormat="1" x14ac:dyDescent="0.3"/>
    <row r="83" s="23" customFormat="1" x14ac:dyDescent="0.3"/>
  </sheetData>
  <mergeCells count="8">
    <mergeCell ref="Q2:R2"/>
    <mergeCell ref="Q3:R3"/>
    <mergeCell ref="U4:V4"/>
    <mergeCell ref="W4:X4"/>
    <mergeCell ref="B3:D3"/>
    <mergeCell ref="J3:K3"/>
    <mergeCell ref="M3:O3"/>
    <mergeCell ref="F3:H3"/>
  </mergeCells>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130E-314B-4A41-BD8A-471F6763135D}">
  <sheetPr codeName="Blad3">
    <tabColor theme="7" tint="0.59999389629810485"/>
    <pageSetUpPr fitToPage="1"/>
  </sheetPr>
  <dimension ref="A1:AN115"/>
  <sheetViews>
    <sheetView zoomScale="115" zoomScaleNormal="115" workbookViewId="0">
      <selection activeCell="Y5" sqref="Y5:Y25"/>
    </sheetView>
  </sheetViews>
  <sheetFormatPr defaultColWidth="11" defaultRowHeight="15.6" x14ac:dyDescent="0.3"/>
  <cols>
    <col min="1" max="1" width="5.8984375" customWidth="1"/>
    <col min="2" max="2" width="12.3984375" customWidth="1"/>
    <col min="3" max="3" width="14.09765625" customWidth="1"/>
    <col min="4" max="4" width="13.69921875" customWidth="1"/>
    <col min="5" max="5" width="2.3984375" customWidth="1"/>
    <col min="6" max="8" width="12.8984375" customWidth="1"/>
    <col min="9" max="9" width="2.19921875" customWidth="1"/>
    <col min="10" max="11" width="12" customWidth="1"/>
    <col min="12" max="12" width="2.19921875" customWidth="1"/>
    <col min="13" max="14" width="10.8984375" customWidth="1"/>
    <col min="15" max="15" width="11.3984375" customWidth="1"/>
    <col min="16" max="16" width="1.59765625" customWidth="1"/>
    <col min="17" max="18" width="10" customWidth="1"/>
    <col min="19" max="19" width="1.8984375" customWidth="1"/>
    <col min="20" max="25" width="12.8984375" customWidth="1"/>
    <col min="26" max="40" width="11" style="23"/>
  </cols>
  <sheetData>
    <row r="1" spans="1:40" ht="16.2" thickBot="1" x14ac:dyDescent="0.35">
      <c r="A1" s="24" t="s">
        <v>56</v>
      </c>
      <c r="B1" s="23"/>
      <c r="C1" s="23"/>
      <c r="D1" s="23"/>
      <c r="E1" s="23"/>
      <c r="F1" s="23"/>
      <c r="G1" s="23"/>
      <c r="H1" s="23"/>
      <c r="I1" s="23"/>
      <c r="J1" s="23"/>
      <c r="K1" s="23"/>
      <c r="L1" s="23"/>
      <c r="M1" s="23"/>
      <c r="N1" s="23"/>
      <c r="O1" s="23"/>
      <c r="P1" s="23"/>
      <c r="Q1" s="23"/>
      <c r="R1" s="23"/>
      <c r="S1" s="23"/>
      <c r="T1" s="23"/>
      <c r="U1" s="23"/>
      <c r="V1" s="23"/>
      <c r="W1" s="23"/>
      <c r="X1" s="23"/>
      <c r="Y1" s="23"/>
    </row>
    <row r="2" spans="1:40" ht="16.2" thickBot="1" x14ac:dyDescent="0.35">
      <c r="A2" s="24"/>
      <c r="B2" s="23"/>
      <c r="C2" s="23"/>
      <c r="D2" s="23"/>
      <c r="E2" s="23"/>
      <c r="F2" s="23"/>
      <c r="G2" s="23"/>
      <c r="H2" s="23"/>
      <c r="I2" s="23"/>
      <c r="J2" s="23"/>
      <c r="K2" s="23"/>
      <c r="L2" s="23"/>
      <c r="M2" s="23"/>
      <c r="N2" s="23"/>
      <c r="O2" s="23"/>
      <c r="P2" s="23"/>
      <c r="Q2" s="289" t="s">
        <v>57</v>
      </c>
      <c r="R2" s="290"/>
      <c r="S2" s="23"/>
      <c r="T2" s="3"/>
      <c r="U2" s="4" t="s">
        <v>58</v>
      </c>
      <c r="V2" s="99">
        <f>'Input en resultaat'!E29</f>
        <v>0.7</v>
      </c>
      <c r="W2" s="5" t="s">
        <v>58</v>
      </c>
      <c r="X2" s="85">
        <f>'Input en resultaat'!E27</f>
        <v>0.8</v>
      </c>
      <c r="Y2" s="7"/>
    </row>
    <row r="3" spans="1:40" s="1" customFormat="1" ht="16.2" thickBot="1" x14ac:dyDescent="0.35">
      <c r="A3" s="24"/>
      <c r="B3" s="296" t="s">
        <v>59</v>
      </c>
      <c r="C3" s="296"/>
      <c r="D3" s="296"/>
      <c r="E3" s="24"/>
      <c r="F3" s="299" t="s">
        <v>60</v>
      </c>
      <c r="G3" s="299"/>
      <c r="H3" s="299"/>
      <c r="I3" s="24"/>
      <c r="J3" s="297" t="s">
        <v>79</v>
      </c>
      <c r="K3" s="297"/>
      <c r="L3" s="24"/>
      <c r="M3" s="298" t="s">
        <v>80</v>
      </c>
      <c r="N3" s="298"/>
      <c r="O3" s="298"/>
      <c r="P3" s="27"/>
      <c r="Q3" s="291" t="s">
        <v>63</v>
      </c>
      <c r="R3" s="291"/>
      <c r="S3" s="27"/>
      <c r="T3" s="90" t="s">
        <v>57</v>
      </c>
      <c r="U3" s="8"/>
      <c r="V3" s="87">
        <f>'Input en resultaat'!E28</f>
        <v>70</v>
      </c>
      <c r="W3" s="9"/>
      <c r="X3" s="87">
        <f>'Input en resultaat'!E26</f>
        <v>70</v>
      </c>
      <c r="Y3" s="90" t="s">
        <v>57</v>
      </c>
      <c r="Z3" s="24"/>
      <c r="AA3" s="24"/>
      <c r="AB3" s="24"/>
      <c r="AC3" s="24"/>
      <c r="AD3" s="24"/>
      <c r="AE3" s="24"/>
      <c r="AF3" s="24"/>
      <c r="AG3" s="24"/>
      <c r="AH3" s="24"/>
      <c r="AI3" s="24"/>
      <c r="AJ3" s="24"/>
      <c r="AK3" s="24"/>
      <c r="AL3" s="24"/>
      <c r="AM3" s="24"/>
      <c r="AN3" s="24"/>
    </row>
    <row r="4" spans="1:40" s="2" customFormat="1" ht="33" customHeight="1" thickBot="1" x14ac:dyDescent="0.35">
      <c r="A4" s="25"/>
      <c r="B4" s="34" t="s">
        <v>34</v>
      </c>
      <c r="C4" s="34" t="s">
        <v>64</v>
      </c>
      <c r="D4" s="34" t="s">
        <v>65</v>
      </c>
      <c r="E4" s="25"/>
      <c r="F4" s="39" t="s">
        <v>66</v>
      </c>
      <c r="G4" s="39" t="s">
        <v>67</v>
      </c>
      <c r="H4" s="39" t="s">
        <v>68</v>
      </c>
      <c r="I4" s="25"/>
      <c r="J4" s="41" t="s">
        <v>69</v>
      </c>
      <c r="K4" s="41" t="s">
        <v>65</v>
      </c>
      <c r="L4" s="25"/>
      <c r="M4" s="43" t="s">
        <v>70</v>
      </c>
      <c r="N4" s="43" t="s">
        <v>71</v>
      </c>
      <c r="O4" s="43" t="s">
        <v>81</v>
      </c>
      <c r="P4" s="28"/>
      <c r="Q4" s="80" t="s">
        <v>73</v>
      </c>
      <c r="R4" s="80"/>
      <c r="S4" s="28"/>
      <c r="T4" s="100" t="s">
        <v>74</v>
      </c>
      <c r="U4" s="292" t="s">
        <v>75</v>
      </c>
      <c r="V4" s="293"/>
      <c r="W4" s="294" t="s">
        <v>76</v>
      </c>
      <c r="X4" s="295"/>
      <c r="Y4" s="12" t="s">
        <v>77</v>
      </c>
      <c r="Z4" s="25"/>
      <c r="AA4" s="25"/>
      <c r="AB4" s="25"/>
      <c r="AC4" s="25"/>
      <c r="AD4" s="25"/>
      <c r="AE4" s="25"/>
      <c r="AF4" s="25"/>
      <c r="AG4" s="25"/>
      <c r="AH4" s="25"/>
      <c r="AI4" s="25"/>
      <c r="AJ4" s="25"/>
      <c r="AK4" s="25"/>
      <c r="AL4" s="25"/>
      <c r="AM4" s="25"/>
      <c r="AN4" s="25"/>
    </row>
    <row r="5" spans="1:40" x14ac:dyDescent="0.3">
      <c r="A5" s="23">
        <v>2023</v>
      </c>
      <c r="B5" s="35">
        <f>F5</f>
        <v>1552</v>
      </c>
      <c r="C5" s="36">
        <f>J5</f>
        <v>-526</v>
      </c>
      <c r="D5" s="36">
        <f>K5</f>
        <v>-506.4</v>
      </c>
      <c r="E5" s="26"/>
      <c r="F5" s="40">
        <f>Mais!F5</f>
        <v>1552</v>
      </c>
      <c r="G5" s="40">
        <f>Mais!G5</f>
        <v>2924</v>
      </c>
      <c r="H5" s="40">
        <f>Mais!H5</f>
        <v>1372</v>
      </c>
      <c r="I5" s="26"/>
      <c r="J5" s="42">
        <f>Y5-M5-N5</f>
        <v>-526</v>
      </c>
      <c r="K5" s="42">
        <f t="shared" ref="K5:K25" si="0">J5+V5+X5</f>
        <v>-506.4</v>
      </c>
      <c r="L5" s="30"/>
      <c r="M5" s="44">
        <f>SUM(J61:J65)</f>
        <v>875</v>
      </c>
      <c r="N5" s="44">
        <f>SUM(J67:J70)</f>
        <v>125</v>
      </c>
      <c r="O5" s="44">
        <f>SUM(J72:J83)</f>
        <v>25</v>
      </c>
      <c r="P5" s="29"/>
      <c r="Q5" s="81">
        <f>'Input en resultaat'!E18</f>
        <v>0</v>
      </c>
      <c r="R5" s="81"/>
      <c r="S5" s="29"/>
      <c r="T5" s="101">
        <f>Q5*'Input en resultaat'!E$23</f>
        <v>0</v>
      </c>
      <c r="U5" s="14">
        <v>0.4</v>
      </c>
      <c r="V5" s="127">
        <f>U5*V$3*V$2</f>
        <v>19.599999999999998</v>
      </c>
      <c r="W5" s="88">
        <f>1.7*Q5*'Input en resultaat'!E$25</f>
        <v>0</v>
      </c>
      <c r="X5" s="89">
        <f>W5*(X$3*X$2)</f>
        <v>0</v>
      </c>
      <c r="Y5" s="17">
        <f>'Input en resultaat'!E$30+'Input en resultaat'!E$31</f>
        <v>474</v>
      </c>
    </row>
    <row r="6" spans="1:40" x14ac:dyDescent="0.3">
      <c r="A6" s="23">
        <v>2024</v>
      </c>
      <c r="B6" s="35">
        <f>B5+F6</f>
        <v>3104</v>
      </c>
      <c r="C6" s="36">
        <f t="shared" ref="C6:C25" si="1">C5+J6</f>
        <v>-369.5</v>
      </c>
      <c r="D6" s="36">
        <f t="shared" ref="D6:D25" si="2">D5+K6</f>
        <v>-7.9500000000000455</v>
      </c>
      <c r="E6" s="26"/>
      <c r="F6" s="40">
        <f>Mais!F6</f>
        <v>1552</v>
      </c>
      <c r="G6" s="40">
        <f>Mais!G6</f>
        <v>2924</v>
      </c>
      <c r="H6" s="40">
        <f>Mais!H6</f>
        <v>1372</v>
      </c>
      <c r="I6" s="26"/>
      <c r="J6" s="42">
        <f t="shared" ref="J6:J25" si="3">T6+Y6-M6-N6-O6</f>
        <v>156.5</v>
      </c>
      <c r="K6" s="42">
        <f t="shared" si="0"/>
        <v>498.44999999999993</v>
      </c>
      <c r="L6" s="30"/>
      <c r="M6" s="44">
        <f>SUM(K61:K65)</f>
        <v>280</v>
      </c>
      <c r="N6" s="44">
        <f>SUM(K67:K70)</f>
        <v>125</v>
      </c>
      <c r="O6" s="44">
        <f>SUM(K72:K83)</f>
        <v>752.5</v>
      </c>
      <c r="P6" s="29"/>
      <c r="Q6" s="81">
        <f>'Input en resultaat'!E19</f>
        <v>6</v>
      </c>
      <c r="R6" s="81"/>
      <c r="S6" s="29"/>
      <c r="T6" s="13">
        <f>Q6*'Input en resultaat'!E$23</f>
        <v>840</v>
      </c>
      <c r="U6" s="14">
        <v>1.1499999999999999</v>
      </c>
      <c r="V6" s="112">
        <f t="shared" ref="V6:V25" si="4">U6*V$3*V$2</f>
        <v>56.349999999999994</v>
      </c>
      <c r="W6" s="15">
        <f>1.7*Q6*'Input en resultaat'!E$25</f>
        <v>5.0999999999999996</v>
      </c>
      <c r="X6" s="16">
        <f t="shared" ref="X6:X25" si="5">W6*(X$3*X$2)</f>
        <v>285.59999999999997</v>
      </c>
      <c r="Y6" s="17">
        <f>'Input en resultaat'!E$30+'Input en resultaat'!E$31</f>
        <v>474</v>
      </c>
    </row>
    <row r="7" spans="1:40" x14ac:dyDescent="0.3">
      <c r="A7" s="23">
        <v>2025</v>
      </c>
      <c r="B7" s="35">
        <f t="shared" ref="B7:B25" si="6">B6+F7</f>
        <v>4656</v>
      </c>
      <c r="C7" s="36">
        <f t="shared" si="1"/>
        <v>1187</v>
      </c>
      <c r="D7" s="36">
        <f t="shared" si="2"/>
        <v>2400.8000000000002</v>
      </c>
      <c r="E7" s="26"/>
      <c r="F7" s="40">
        <f>Mais!F7</f>
        <v>1552</v>
      </c>
      <c r="G7" s="40">
        <f>Mais!G7</f>
        <v>2924</v>
      </c>
      <c r="H7" s="40">
        <f>Mais!H7</f>
        <v>1372</v>
      </c>
      <c r="I7" s="26"/>
      <c r="J7" s="42">
        <f t="shared" si="3"/>
        <v>1556.5</v>
      </c>
      <c r="K7" s="42">
        <f t="shared" si="0"/>
        <v>2408.75</v>
      </c>
      <c r="L7" s="30"/>
      <c r="M7" s="44">
        <f>SUM(L61:M65)</f>
        <v>280</v>
      </c>
      <c r="N7" s="44">
        <f>SUM(L67:M70)</f>
        <v>125</v>
      </c>
      <c r="O7" s="44">
        <f>SUM(L72:M83)</f>
        <v>752.5</v>
      </c>
      <c r="P7" s="29"/>
      <c r="Q7" s="81">
        <f>'Input en resultaat'!E20</f>
        <v>16</v>
      </c>
      <c r="R7" s="81"/>
      <c r="S7" s="29"/>
      <c r="T7" s="13">
        <f>Q7*'Input en resultaat'!E$23</f>
        <v>2240</v>
      </c>
      <c r="U7" s="14">
        <v>1.85</v>
      </c>
      <c r="V7" s="112">
        <f t="shared" si="4"/>
        <v>90.649999999999991</v>
      </c>
      <c r="W7" s="15">
        <f>1.7*Q7*'Input en resultaat'!E$25</f>
        <v>13.6</v>
      </c>
      <c r="X7" s="16">
        <f>W7*(X$3*X$2)</f>
        <v>761.6</v>
      </c>
      <c r="Y7" s="17">
        <f>'Input en resultaat'!E$30+'Input en resultaat'!E$31</f>
        <v>474</v>
      </c>
    </row>
    <row r="8" spans="1:40" x14ac:dyDescent="0.3">
      <c r="A8" s="23">
        <v>2026</v>
      </c>
      <c r="B8" s="35">
        <f t="shared" si="6"/>
        <v>6208</v>
      </c>
      <c r="C8" s="36">
        <f t="shared" si="1"/>
        <v>2743.5</v>
      </c>
      <c r="D8" s="36">
        <f t="shared" si="2"/>
        <v>4834.05</v>
      </c>
      <c r="E8" s="26"/>
      <c r="F8" s="40">
        <f>Mais!F8</f>
        <v>1552</v>
      </c>
      <c r="G8" s="40">
        <f>Mais!G8</f>
        <v>2924</v>
      </c>
      <c r="H8" s="40">
        <f>Mais!H8</f>
        <v>1372</v>
      </c>
      <c r="I8" s="26"/>
      <c r="J8" s="42">
        <f t="shared" si="3"/>
        <v>1556.5</v>
      </c>
      <c r="K8" s="42">
        <f t="shared" si="0"/>
        <v>2433.25</v>
      </c>
      <c r="L8" s="30"/>
      <c r="M8" s="44">
        <f>M7</f>
        <v>280</v>
      </c>
      <c r="N8" s="44">
        <f>N7</f>
        <v>125</v>
      </c>
      <c r="O8" s="44">
        <f>O7</f>
        <v>752.5</v>
      </c>
      <c r="P8" s="29"/>
      <c r="Q8" s="81">
        <f>'Input en resultaat'!E21</f>
        <v>16</v>
      </c>
      <c r="R8" s="81"/>
      <c r="S8" s="29"/>
      <c r="T8" s="13">
        <f>Q8*'Input en resultaat'!E$23</f>
        <v>2240</v>
      </c>
      <c r="U8" s="14">
        <v>2.35</v>
      </c>
      <c r="V8" s="112">
        <f t="shared" si="4"/>
        <v>115.14999999999999</v>
      </c>
      <c r="W8" s="15">
        <f>1.7*Q8*'Input en resultaat'!E$25</f>
        <v>13.6</v>
      </c>
      <c r="X8" s="16">
        <f t="shared" si="5"/>
        <v>761.6</v>
      </c>
      <c r="Y8" s="17">
        <f>'Input en resultaat'!E$30+'Input en resultaat'!E$31</f>
        <v>474</v>
      </c>
    </row>
    <row r="9" spans="1:40" x14ac:dyDescent="0.3">
      <c r="A9" s="23">
        <v>2027</v>
      </c>
      <c r="B9" s="35">
        <f t="shared" si="6"/>
        <v>7760</v>
      </c>
      <c r="C9" s="36">
        <f t="shared" si="1"/>
        <v>4300</v>
      </c>
      <c r="D9" s="36">
        <f t="shared" si="2"/>
        <v>7267.3</v>
      </c>
      <c r="E9" s="26"/>
      <c r="F9" s="40">
        <f>Mais!F9</f>
        <v>1552</v>
      </c>
      <c r="G9" s="40">
        <f>Mais!G9</f>
        <v>2924</v>
      </c>
      <c r="H9" s="40">
        <f>Mais!H9</f>
        <v>1372</v>
      </c>
      <c r="I9" s="26"/>
      <c r="J9" s="42">
        <f t="shared" si="3"/>
        <v>1556.5</v>
      </c>
      <c r="K9" s="42">
        <f t="shared" si="0"/>
        <v>2433.25</v>
      </c>
      <c r="L9" s="30"/>
      <c r="M9" s="44">
        <f t="shared" ref="M9:M25" si="7">M8</f>
        <v>280</v>
      </c>
      <c r="N9" s="44">
        <f t="shared" ref="N9:N25" si="8">N8</f>
        <v>125</v>
      </c>
      <c r="O9" s="44">
        <f t="shared" ref="O9:O25" si="9">O8</f>
        <v>752.5</v>
      </c>
      <c r="P9" s="29"/>
      <c r="Q9" s="81">
        <f>Q8</f>
        <v>16</v>
      </c>
      <c r="R9" s="81"/>
      <c r="S9" s="29"/>
      <c r="T9" s="13">
        <f>Q9*'Input en resultaat'!E$23</f>
        <v>2240</v>
      </c>
      <c r="U9" s="14">
        <v>2.35</v>
      </c>
      <c r="V9" s="112">
        <f t="shared" si="4"/>
        <v>115.14999999999999</v>
      </c>
      <c r="W9" s="15">
        <f>1.7*Q9*'Input en resultaat'!E$25</f>
        <v>13.6</v>
      </c>
      <c r="X9" s="16">
        <f t="shared" si="5"/>
        <v>761.6</v>
      </c>
      <c r="Y9" s="17">
        <f>'Input en resultaat'!E$30+'Input en resultaat'!E$31</f>
        <v>474</v>
      </c>
    </row>
    <row r="10" spans="1:40" x14ac:dyDescent="0.3">
      <c r="A10" s="23">
        <v>2028</v>
      </c>
      <c r="B10" s="35">
        <f t="shared" si="6"/>
        <v>9312</v>
      </c>
      <c r="C10" s="36">
        <f t="shared" si="1"/>
        <v>5856.5</v>
      </c>
      <c r="D10" s="36">
        <f t="shared" si="2"/>
        <v>9700.5499999999993</v>
      </c>
      <c r="E10" s="26"/>
      <c r="F10" s="40">
        <f>Mais!F10</f>
        <v>1552</v>
      </c>
      <c r="G10" s="40">
        <f>Mais!G10</f>
        <v>2924</v>
      </c>
      <c r="H10" s="40">
        <f>Mais!H10</f>
        <v>1372</v>
      </c>
      <c r="I10" s="26"/>
      <c r="J10" s="42">
        <f t="shared" si="3"/>
        <v>1556.5</v>
      </c>
      <c r="K10" s="42">
        <f t="shared" si="0"/>
        <v>2433.25</v>
      </c>
      <c r="L10" s="30"/>
      <c r="M10" s="44">
        <f t="shared" si="7"/>
        <v>280</v>
      </c>
      <c r="N10" s="44">
        <f t="shared" si="8"/>
        <v>125</v>
      </c>
      <c r="O10" s="44">
        <f t="shared" si="9"/>
        <v>752.5</v>
      </c>
      <c r="P10" s="29"/>
      <c r="Q10" s="81">
        <f t="shared" ref="Q10:Q25" si="10">Q9</f>
        <v>16</v>
      </c>
      <c r="R10" s="81"/>
      <c r="S10" s="29"/>
      <c r="T10" s="13">
        <f>Q10*'Input en resultaat'!E$23</f>
        <v>2240</v>
      </c>
      <c r="U10" s="14">
        <v>2.35</v>
      </c>
      <c r="V10" s="112">
        <f t="shared" si="4"/>
        <v>115.14999999999999</v>
      </c>
      <c r="W10" s="15">
        <f>1.7*Q10*'Input en resultaat'!E$25</f>
        <v>13.6</v>
      </c>
      <c r="X10" s="16">
        <f t="shared" si="5"/>
        <v>761.6</v>
      </c>
      <c r="Y10" s="17">
        <f>'Input en resultaat'!E$30+'Input en resultaat'!E$31</f>
        <v>474</v>
      </c>
    </row>
    <row r="11" spans="1:40" x14ac:dyDescent="0.3">
      <c r="A11" s="23">
        <v>2029</v>
      </c>
      <c r="B11" s="35">
        <f t="shared" si="6"/>
        <v>10864</v>
      </c>
      <c r="C11" s="36">
        <f t="shared" si="1"/>
        <v>7413</v>
      </c>
      <c r="D11" s="36">
        <f t="shared" si="2"/>
        <v>12133.8</v>
      </c>
      <c r="E11" s="26"/>
      <c r="F11" s="40">
        <f>Mais!F11</f>
        <v>1552</v>
      </c>
      <c r="G11" s="40">
        <f>Mais!G11</f>
        <v>2924</v>
      </c>
      <c r="H11" s="40">
        <f>Mais!H11</f>
        <v>1372</v>
      </c>
      <c r="I11" s="26"/>
      <c r="J11" s="42">
        <f t="shared" si="3"/>
        <v>1556.5</v>
      </c>
      <c r="K11" s="42">
        <f t="shared" si="0"/>
        <v>2433.25</v>
      </c>
      <c r="L11" s="30"/>
      <c r="M11" s="44">
        <f t="shared" si="7"/>
        <v>280</v>
      </c>
      <c r="N11" s="44">
        <f t="shared" si="8"/>
        <v>125</v>
      </c>
      <c r="O11" s="44">
        <f t="shared" si="9"/>
        <v>752.5</v>
      </c>
      <c r="P11" s="29"/>
      <c r="Q11" s="81">
        <f t="shared" si="10"/>
        <v>16</v>
      </c>
      <c r="R11" s="81"/>
      <c r="S11" s="29"/>
      <c r="T11" s="13">
        <f>Q11*'Input en resultaat'!E$23</f>
        <v>2240</v>
      </c>
      <c r="U11" s="14">
        <v>2.35</v>
      </c>
      <c r="V11" s="112">
        <f t="shared" si="4"/>
        <v>115.14999999999999</v>
      </c>
      <c r="W11" s="15">
        <f>1.7*Q11*'Input en resultaat'!E$25</f>
        <v>13.6</v>
      </c>
      <c r="X11" s="16">
        <f t="shared" si="5"/>
        <v>761.6</v>
      </c>
      <c r="Y11" s="17">
        <f>'Input en resultaat'!E$30+'Input en resultaat'!E$31</f>
        <v>474</v>
      </c>
    </row>
    <row r="12" spans="1:40" x14ac:dyDescent="0.3">
      <c r="A12" s="23">
        <v>2030</v>
      </c>
      <c r="B12" s="35">
        <f t="shared" si="6"/>
        <v>12416</v>
      </c>
      <c r="C12" s="36">
        <f t="shared" si="1"/>
        <v>8969.5</v>
      </c>
      <c r="D12" s="36">
        <f t="shared" si="2"/>
        <v>14567.05</v>
      </c>
      <c r="E12" s="26"/>
      <c r="F12" s="40">
        <f>Mais!F12</f>
        <v>1552</v>
      </c>
      <c r="G12" s="40">
        <f>Mais!G12</f>
        <v>2924</v>
      </c>
      <c r="H12" s="40">
        <f>Mais!H12</f>
        <v>1372</v>
      </c>
      <c r="I12" s="26"/>
      <c r="J12" s="42">
        <f t="shared" si="3"/>
        <v>1556.5</v>
      </c>
      <c r="K12" s="42">
        <f t="shared" si="0"/>
        <v>2433.25</v>
      </c>
      <c r="L12" s="30"/>
      <c r="M12" s="44">
        <f t="shared" si="7"/>
        <v>280</v>
      </c>
      <c r="N12" s="44">
        <f t="shared" si="8"/>
        <v>125</v>
      </c>
      <c r="O12" s="44">
        <f t="shared" si="9"/>
        <v>752.5</v>
      </c>
      <c r="P12" s="29"/>
      <c r="Q12" s="81">
        <f t="shared" si="10"/>
        <v>16</v>
      </c>
      <c r="R12" s="81"/>
      <c r="S12" s="29"/>
      <c r="T12" s="13">
        <f>Q12*'Input en resultaat'!E$23</f>
        <v>2240</v>
      </c>
      <c r="U12" s="14">
        <v>2.35</v>
      </c>
      <c r="V12" s="112">
        <f t="shared" si="4"/>
        <v>115.14999999999999</v>
      </c>
      <c r="W12" s="15">
        <f>1.7*Q12*'Input en resultaat'!E$25</f>
        <v>13.6</v>
      </c>
      <c r="X12" s="16">
        <f t="shared" si="5"/>
        <v>761.6</v>
      </c>
      <c r="Y12" s="17">
        <f>'Input en resultaat'!E$30+'Input en resultaat'!E$31</f>
        <v>474</v>
      </c>
    </row>
    <row r="13" spans="1:40" x14ac:dyDescent="0.3">
      <c r="A13" s="23">
        <v>2031</v>
      </c>
      <c r="B13" s="35">
        <f t="shared" si="6"/>
        <v>13968</v>
      </c>
      <c r="C13" s="36">
        <f t="shared" si="1"/>
        <v>10526</v>
      </c>
      <c r="D13" s="36">
        <f t="shared" si="2"/>
        <v>17000.3</v>
      </c>
      <c r="E13" s="26"/>
      <c r="F13" s="40">
        <f>Mais!F13</f>
        <v>1552</v>
      </c>
      <c r="G13" s="40">
        <f>Mais!G13</f>
        <v>2924</v>
      </c>
      <c r="H13" s="40">
        <f>Mais!H13</f>
        <v>1372</v>
      </c>
      <c r="I13" s="26"/>
      <c r="J13" s="42">
        <f t="shared" si="3"/>
        <v>1556.5</v>
      </c>
      <c r="K13" s="42">
        <f t="shared" si="0"/>
        <v>2433.25</v>
      </c>
      <c r="L13" s="30"/>
      <c r="M13" s="44">
        <f t="shared" si="7"/>
        <v>280</v>
      </c>
      <c r="N13" s="44">
        <f t="shared" si="8"/>
        <v>125</v>
      </c>
      <c r="O13" s="44">
        <f t="shared" si="9"/>
        <v>752.5</v>
      </c>
      <c r="P13" s="29"/>
      <c r="Q13" s="81">
        <f t="shared" si="10"/>
        <v>16</v>
      </c>
      <c r="R13" s="81"/>
      <c r="S13" s="29"/>
      <c r="T13" s="13">
        <f>Q13*'Input en resultaat'!E$23</f>
        <v>2240</v>
      </c>
      <c r="U13" s="14">
        <v>2.35</v>
      </c>
      <c r="V13" s="112">
        <f t="shared" si="4"/>
        <v>115.14999999999999</v>
      </c>
      <c r="W13" s="15">
        <f>1.7*Q13*'Input en resultaat'!E$25</f>
        <v>13.6</v>
      </c>
      <c r="X13" s="16">
        <f t="shared" si="5"/>
        <v>761.6</v>
      </c>
      <c r="Y13" s="17">
        <f>'Input en resultaat'!E$30+'Input en resultaat'!E$31</f>
        <v>474</v>
      </c>
    </row>
    <row r="14" spans="1:40" x14ac:dyDescent="0.3">
      <c r="A14" s="23">
        <v>2032</v>
      </c>
      <c r="B14" s="35">
        <f t="shared" si="6"/>
        <v>15520</v>
      </c>
      <c r="C14" s="36">
        <f t="shared" si="1"/>
        <v>12082.5</v>
      </c>
      <c r="D14" s="36">
        <f t="shared" si="2"/>
        <v>19433.55</v>
      </c>
      <c r="E14" s="26"/>
      <c r="F14" s="40">
        <f>Mais!F14</f>
        <v>1552</v>
      </c>
      <c r="G14" s="40">
        <f>Mais!G14</f>
        <v>2924</v>
      </c>
      <c r="H14" s="40">
        <f>Mais!H14</f>
        <v>1372</v>
      </c>
      <c r="I14" s="26"/>
      <c r="J14" s="42">
        <f t="shared" si="3"/>
        <v>1556.5</v>
      </c>
      <c r="K14" s="42">
        <f t="shared" si="0"/>
        <v>2433.25</v>
      </c>
      <c r="L14" s="30"/>
      <c r="M14" s="44">
        <f t="shared" si="7"/>
        <v>280</v>
      </c>
      <c r="N14" s="44">
        <f t="shared" si="8"/>
        <v>125</v>
      </c>
      <c r="O14" s="44">
        <f t="shared" si="9"/>
        <v>752.5</v>
      </c>
      <c r="P14" s="29"/>
      <c r="Q14" s="81">
        <f t="shared" si="10"/>
        <v>16</v>
      </c>
      <c r="R14" s="81"/>
      <c r="S14" s="29"/>
      <c r="T14" s="13">
        <f>Q14*'Input en resultaat'!E$23</f>
        <v>2240</v>
      </c>
      <c r="U14" s="14">
        <v>2.35</v>
      </c>
      <c r="V14" s="112">
        <f t="shared" si="4"/>
        <v>115.14999999999999</v>
      </c>
      <c r="W14" s="15">
        <f>1.7*Q14*'Input en resultaat'!E$25</f>
        <v>13.6</v>
      </c>
      <c r="X14" s="16">
        <f t="shared" si="5"/>
        <v>761.6</v>
      </c>
      <c r="Y14" s="17">
        <f>'Input en resultaat'!E$30+'Input en resultaat'!E$31</f>
        <v>474</v>
      </c>
    </row>
    <row r="15" spans="1:40" x14ac:dyDescent="0.3">
      <c r="A15" s="23">
        <v>2033</v>
      </c>
      <c r="B15" s="35">
        <f t="shared" si="6"/>
        <v>17072</v>
      </c>
      <c r="C15" s="36">
        <f t="shared" si="1"/>
        <v>13639</v>
      </c>
      <c r="D15" s="36">
        <f t="shared" si="2"/>
        <v>21866.799999999999</v>
      </c>
      <c r="E15" s="26"/>
      <c r="F15" s="40">
        <f>Mais!F15</f>
        <v>1552</v>
      </c>
      <c r="G15" s="40">
        <f>Mais!G15</f>
        <v>2924</v>
      </c>
      <c r="H15" s="40">
        <f>Mais!H15</f>
        <v>1372</v>
      </c>
      <c r="I15" s="26"/>
      <c r="J15" s="42">
        <f t="shared" si="3"/>
        <v>1556.5</v>
      </c>
      <c r="K15" s="42">
        <f t="shared" si="0"/>
        <v>2433.25</v>
      </c>
      <c r="L15" s="30"/>
      <c r="M15" s="44">
        <f t="shared" si="7"/>
        <v>280</v>
      </c>
      <c r="N15" s="44">
        <f t="shared" si="8"/>
        <v>125</v>
      </c>
      <c r="O15" s="44">
        <f t="shared" si="9"/>
        <v>752.5</v>
      </c>
      <c r="P15" s="29"/>
      <c r="Q15" s="81">
        <f t="shared" si="10"/>
        <v>16</v>
      </c>
      <c r="R15" s="81"/>
      <c r="S15" s="29"/>
      <c r="T15" s="13">
        <f>Q15*'Input en resultaat'!E$23</f>
        <v>2240</v>
      </c>
      <c r="U15" s="14">
        <v>2.35</v>
      </c>
      <c r="V15" s="112">
        <f t="shared" si="4"/>
        <v>115.14999999999999</v>
      </c>
      <c r="W15" s="15">
        <f>1.7*Q15*'Input en resultaat'!E$25</f>
        <v>13.6</v>
      </c>
      <c r="X15" s="16">
        <f t="shared" si="5"/>
        <v>761.6</v>
      </c>
      <c r="Y15" s="17">
        <f>'Input en resultaat'!E$30+'Input en resultaat'!E$31</f>
        <v>474</v>
      </c>
    </row>
    <row r="16" spans="1:40" x14ac:dyDescent="0.3">
      <c r="A16" s="23">
        <v>2034</v>
      </c>
      <c r="B16" s="35">
        <f t="shared" si="6"/>
        <v>18624</v>
      </c>
      <c r="C16" s="36">
        <f t="shared" si="1"/>
        <v>15195.5</v>
      </c>
      <c r="D16" s="36">
        <f t="shared" si="2"/>
        <v>24300.05</v>
      </c>
      <c r="E16" s="26"/>
      <c r="F16" s="40">
        <f>Mais!F16</f>
        <v>1552</v>
      </c>
      <c r="G16" s="40">
        <f>Mais!G16</f>
        <v>2924</v>
      </c>
      <c r="H16" s="40">
        <f>Mais!H16</f>
        <v>1372</v>
      </c>
      <c r="I16" s="26"/>
      <c r="J16" s="42">
        <f t="shared" si="3"/>
        <v>1556.5</v>
      </c>
      <c r="K16" s="42">
        <f t="shared" si="0"/>
        <v>2433.25</v>
      </c>
      <c r="L16" s="30"/>
      <c r="M16" s="44">
        <f t="shared" si="7"/>
        <v>280</v>
      </c>
      <c r="N16" s="44">
        <f t="shared" si="8"/>
        <v>125</v>
      </c>
      <c r="O16" s="44">
        <f t="shared" si="9"/>
        <v>752.5</v>
      </c>
      <c r="P16" s="29"/>
      <c r="Q16" s="81">
        <f t="shared" si="10"/>
        <v>16</v>
      </c>
      <c r="R16" s="81"/>
      <c r="S16" s="29"/>
      <c r="T16" s="13">
        <f>Q16*'Input en resultaat'!E$23</f>
        <v>2240</v>
      </c>
      <c r="U16" s="14">
        <v>2.35</v>
      </c>
      <c r="V16" s="112">
        <f t="shared" si="4"/>
        <v>115.14999999999999</v>
      </c>
      <c r="W16" s="15">
        <f>1.7*Q16*'Input en resultaat'!E$25</f>
        <v>13.6</v>
      </c>
      <c r="X16" s="16">
        <f t="shared" si="5"/>
        <v>761.6</v>
      </c>
      <c r="Y16" s="17">
        <f>'Input en resultaat'!E$30+'Input en resultaat'!E$31</f>
        <v>474</v>
      </c>
    </row>
    <row r="17" spans="1:25" x14ac:dyDescent="0.3">
      <c r="A17" s="23">
        <v>2035</v>
      </c>
      <c r="B17" s="35">
        <f t="shared" si="6"/>
        <v>20176</v>
      </c>
      <c r="C17" s="36">
        <f t="shared" si="1"/>
        <v>16752</v>
      </c>
      <c r="D17" s="36">
        <f t="shared" si="2"/>
        <v>26733.3</v>
      </c>
      <c r="E17" s="26"/>
      <c r="F17" s="40">
        <f>Mais!F17</f>
        <v>1552</v>
      </c>
      <c r="G17" s="40">
        <f>Mais!G17</f>
        <v>2924</v>
      </c>
      <c r="H17" s="40">
        <f>Mais!H17</f>
        <v>1372</v>
      </c>
      <c r="I17" s="26"/>
      <c r="J17" s="42">
        <f t="shared" si="3"/>
        <v>1556.5</v>
      </c>
      <c r="K17" s="42">
        <f t="shared" si="0"/>
        <v>2433.25</v>
      </c>
      <c r="L17" s="30"/>
      <c r="M17" s="44">
        <f t="shared" si="7"/>
        <v>280</v>
      </c>
      <c r="N17" s="44">
        <f t="shared" si="8"/>
        <v>125</v>
      </c>
      <c r="O17" s="44">
        <f t="shared" si="9"/>
        <v>752.5</v>
      </c>
      <c r="P17" s="29"/>
      <c r="Q17" s="81">
        <f t="shared" si="10"/>
        <v>16</v>
      </c>
      <c r="R17" s="81"/>
      <c r="S17" s="29"/>
      <c r="T17" s="13">
        <f>Q17*'Input en resultaat'!E$23</f>
        <v>2240</v>
      </c>
      <c r="U17" s="14">
        <v>2.35</v>
      </c>
      <c r="V17" s="112">
        <f t="shared" si="4"/>
        <v>115.14999999999999</v>
      </c>
      <c r="W17" s="15">
        <f>1.7*Q17*'Input en resultaat'!E$25</f>
        <v>13.6</v>
      </c>
      <c r="X17" s="16">
        <f t="shared" si="5"/>
        <v>761.6</v>
      </c>
      <c r="Y17" s="17">
        <f>'Input en resultaat'!E$30+'Input en resultaat'!E$31</f>
        <v>474</v>
      </c>
    </row>
    <row r="18" spans="1:25" x14ac:dyDescent="0.3">
      <c r="A18" s="23">
        <v>2036</v>
      </c>
      <c r="B18" s="35">
        <f t="shared" si="6"/>
        <v>21728</v>
      </c>
      <c r="C18" s="36">
        <f t="shared" si="1"/>
        <v>18308.5</v>
      </c>
      <c r="D18" s="36">
        <f t="shared" si="2"/>
        <v>29166.55</v>
      </c>
      <c r="E18" s="26"/>
      <c r="F18" s="40">
        <f>Mais!F18</f>
        <v>1552</v>
      </c>
      <c r="G18" s="40">
        <f>Mais!G18</f>
        <v>2924</v>
      </c>
      <c r="H18" s="40">
        <f>Mais!H18</f>
        <v>1372</v>
      </c>
      <c r="I18" s="26"/>
      <c r="J18" s="42">
        <f t="shared" si="3"/>
        <v>1556.5</v>
      </c>
      <c r="K18" s="42">
        <f t="shared" si="0"/>
        <v>2433.25</v>
      </c>
      <c r="L18" s="30"/>
      <c r="M18" s="44">
        <f t="shared" si="7"/>
        <v>280</v>
      </c>
      <c r="N18" s="44">
        <f t="shared" si="8"/>
        <v>125</v>
      </c>
      <c r="O18" s="44">
        <f t="shared" si="9"/>
        <v>752.5</v>
      </c>
      <c r="P18" s="29"/>
      <c r="Q18" s="81">
        <f t="shared" si="10"/>
        <v>16</v>
      </c>
      <c r="R18" s="81"/>
      <c r="S18" s="29"/>
      <c r="T18" s="13">
        <f>Q18*'Input en resultaat'!E$23</f>
        <v>2240</v>
      </c>
      <c r="U18" s="14">
        <v>2.35</v>
      </c>
      <c r="V18" s="112">
        <f t="shared" si="4"/>
        <v>115.14999999999999</v>
      </c>
      <c r="W18" s="15">
        <f>1.7*Q18*'Input en resultaat'!E$25</f>
        <v>13.6</v>
      </c>
      <c r="X18" s="16">
        <f t="shared" si="5"/>
        <v>761.6</v>
      </c>
      <c r="Y18" s="17">
        <f>'Input en resultaat'!E$30+'Input en resultaat'!E$31</f>
        <v>474</v>
      </c>
    </row>
    <row r="19" spans="1:25" x14ac:dyDescent="0.3">
      <c r="A19" s="23">
        <v>2037</v>
      </c>
      <c r="B19" s="35">
        <f t="shared" si="6"/>
        <v>23280</v>
      </c>
      <c r="C19" s="36">
        <f t="shared" si="1"/>
        <v>19865</v>
      </c>
      <c r="D19" s="36">
        <f t="shared" si="2"/>
        <v>31599.8</v>
      </c>
      <c r="E19" s="26"/>
      <c r="F19" s="40">
        <f>Mais!F19</f>
        <v>1552</v>
      </c>
      <c r="G19" s="40">
        <f>Mais!G19</f>
        <v>2924</v>
      </c>
      <c r="H19" s="40">
        <f>Mais!H19</f>
        <v>1372</v>
      </c>
      <c r="I19" s="26"/>
      <c r="J19" s="42">
        <f t="shared" si="3"/>
        <v>1556.5</v>
      </c>
      <c r="K19" s="42">
        <f t="shared" si="0"/>
        <v>2433.25</v>
      </c>
      <c r="L19" s="30"/>
      <c r="M19" s="44">
        <f t="shared" si="7"/>
        <v>280</v>
      </c>
      <c r="N19" s="44">
        <f t="shared" si="8"/>
        <v>125</v>
      </c>
      <c r="O19" s="44">
        <f t="shared" si="9"/>
        <v>752.5</v>
      </c>
      <c r="P19" s="29"/>
      <c r="Q19" s="81">
        <f t="shared" si="10"/>
        <v>16</v>
      </c>
      <c r="R19" s="81"/>
      <c r="S19" s="29"/>
      <c r="T19" s="13">
        <f>Q19*'Input en resultaat'!E$23</f>
        <v>2240</v>
      </c>
      <c r="U19" s="14">
        <v>2.35</v>
      </c>
      <c r="V19" s="112">
        <f t="shared" si="4"/>
        <v>115.14999999999999</v>
      </c>
      <c r="W19" s="15">
        <f>1.7*Q19*'Input en resultaat'!E$25</f>
        <v>13.6</v>
      </c>
      <c r="X19" s="16">
        <f t="shared" si="5"/>
        <v>761.6</v>
      </c>
      <c r="Y19" s="17">
        <f>'Input en resultaat'!E$30+'Input en resultaat'!E$31</f>
        <v>474</v>
      </c>
    </row>
    <row r="20" spans="1:25" x14ac:dyDescent="0.3">
      <c r="A20" s="23">
        <v>2038</v>
      </c>
      <c r="B20" s="35">
        <f t="shared" si="6"/>
        <v>24832</v>
      </c>
      <c r="C20" s="36">
        <f t="shared" si="1"/>
        <v>21421.5</v>
      </c>
      <c r="D20" s="36">
        <f t="shared" si="2"/>
        <v>34033.050000000003</v>
      </c>
      <c r="E20" s="26"/>
      <c r="F20" s="40">
        <f>Mais!F20</f>
        <v>1552</v>
      </c>
      <c r="G20" s="40">
        <f>Mais!G20</f>
        <v>2924</v>
      </c>
      <c r="H20" s="40">
        <f>Mais!H20</f>
        <v>1372</v>
      </c>
      <c r="I20" s="26"/>
      <c r="J20" s="42">
        <f t="shared" si="3"/>
        <v>1556.5</v>
      </c>
      <c r="K20" s="42">
        <f t="shared" si="0"/>
        <v>2433.25</v>
      </c>
      <c r="L20" s="30"/>
      <c r="M20" s="44">
        <f t="shared" si="7"/>
        <v>280</v>
      </c>
      <c r="N20" s="44">
        <f t="shared" si="8"/>
        <v>125</v>
      </c>
      <c r="O20" s="44">
        <f t="shared" si="9"/>
        <v>752.5</v>
      </c>
      <c r="P20" s="29"/>
      <c r="Q20" s="81">
        <f t="shared" si="10"/>
        <v>16</v>
      </c>
      <c r="R20" s="81"/>
      <c r="S20" s="29"/>
      <c r="T20" s="13">
        <f>Q20*'Input en resultaat'!E$23</f>
        <v>2240</v>
      </c>
      <c r="U20" s="14">
        <v>2.35</v>
      </c>
      <c r="V20" s="112">
        <f t="shared" si="4"/>
        <v>115.14999999999999</v>
      </c>
      <c r="W20" s="15">
        <f>1.7*Q20*'Input en resultaat'!E$25</f>
        <v>13.6</v>
      </c>
      <c r="X20" s="16">
        <f t="shared" si="5"/>
        <v>761.6</v>
      </c>
      <c r="Y20" s="17">
        <f>'Input en resultaat'!E$30+'Input en resultaat'!E$31</f>
        <v>474</v>
      </c>
    </row>
    <row r="21" spans="1:25" x14ac:dyDescent="0.3">
      <c r="A21" s="23">
        <v>2039</v>
      </c>
      <c r="B21" s="35">
        <f t="shared" si="6"/>
        <v>26384</v>
      </c>
      <c r="C21" s="36">
        <f t="shared" si="1"/>
        <v>22978</v>
      </c>
      <c r="D21" s="36">
        <f t="shared" si="2"/>
        <v>36466.300000000003</v>
      </c>
      <c r="E21" s="26"/>
      <c r="F21" s="40">
        <f>Mais!F21</f>
        <v>1552</v>
      </c>
      <c r="G21" s="40">
        <f>Mais!G21</f>
        <v>2924</v>
      </c>
      <c r="H21" s="40">
        <f>Mais!H21</f>
        <v>1372</v>
      </c>
      <c r="I21" s="26"/>
      <c r="J21" s="42">
        <f t="shared" si="3"/>
        <v>1556.5</v>
      </c>
      <c r="K21" s="42">
        <f t="shared" si="0"/>
        <v>2433.25</v>
      </c>
      <c r="L21" s="30"/>
      <c r="M21" s="44">
        <f t="shared" si="7"/>
        <v>280</v>
      </c>
      <c r="N21" s="44">
        <f t="shared" si="8"/>
        <v>125</v>
      </c>
      <c r="O21" s="44">
        <f t="shared" si="9"/>
        <v>752.5</v>
      </c>
      <c r="P21" s="29"/>
      <c r="Q21" s="81">
        <f t="shared" si="10"/>
        <v>16</v>
      </c>
      <c r="R21" s="81"/>
      <c r="S21" s="29"/>
      <c r="T21" s="13">
        <f>Q21*'Input en resultaat'!E$23</f>
        <v>2240</v>
      </c>
      <c r="U21" s="14">
        <v>2.35</v>
      </c>
      <c r="V21" s="112">
        <f t="shared" si="4"/>
        <v>115.14999999999999</v>
      </c>
      <c r="W21" s="15">
        <f>1.7*Q21*'Input en resultaat'!E$25</f>
        <v>13.6</v>
      </c>
      <c r="X21" s="16">
        <f t="shared" si="5"/>
        <v>761.6</v>
      </c>
      <c r="Y21" s="17">
        <f>'Input en resultaat'!E$30+'Input en resultaat'!E$31</f>
        <v>474</v>
      </c>
    </row>
    <row r="22" spans="1:25" x14ac:dyDescent="0.3">
      <c r="A22" s="23">
        <v>2040</v>
      </c>
      <c r="B22" s="35">
        <f t="shared" si="6"/>
        <v>27936</v>
      </c>
      <c r="C22" s="36">
        <f t="shared" si="1"/>
        <v>24534.5</v>
      </c>
      <c r="D22" s="36">
        <f t="shared" si="2"/>
        <v>38899.550000000003</v>
      </c>
      <c r="E22" s="26"/>
      <c r="F22" s="40">
        <f>Mais!F22</f>
        <v>1552</v>
      </c>
      <c r="G22" s="40">
        <f>Mais!G22</f>
        <v>2924</v>
      </c>
      <c r="H22" s="40">
        <f>Mais!H22</f>
        <v>1372</v>
      </c>
      <c r="I22" s="26"/>
      <c r="J22" s="42">
        <f t="shared" si="3"/>
        <v>1556.5</v>
      </c>
      <c r="K22" s="42">
        <f t="shared" si="0"/>
        <v>2433.25</v>
      </c>
      <c r="L22" s="30"/>
      <c r="M22" s="44">
        <f t="shared" si="7"/>
        <v>280</v>
      </c>
      <c r="N22" s="44">
        <f t="shared" si="8"/>
        <v>125</v>
      </c>
      <c r="O22" s="44">
        <f t="shared" si="9"/>
        <v>752.5</v>
      </c>
      <c r="P22" s="29"/>
      <c r="Q22" s="81">
        <f t="shared" si="10"/>
        <v>16</v>
      </c>
      <c r="R22" s="81"/>
      <c r="S22" s="29"/>
      <c r="T22" s="13">
        <f>Q22*'Input en resultaat'!E$23</f>
        <v>2240</v>
      </c>
      <c r="U22" s="14">
        <v>2.35</v>
      </c>
      <c r="V22" s="112">
        <f t="shared" si="4"/>
        <v>115.14999999999999</v>
      </c>
      <c r="W22" s="15">
        <f>1.7*Q22*'Input en resultaat'!E$25</f>
        <v>13.6</v>
      </c>
      <c r="X22" s="16">
        <f t="shared" si="5"/>
        <v>761.6</v>
      </c>
      <c r="Y22" s="17">
        <f>'Input en resultaat'!E$30+'Input en resultaat'!E$31</f>
        <v>474</v>
      </c>
    </row>
    <row r="23" spans="1:25" x14ac:dyDescent="0.3">
      <c r="A23" s="23">
        <v>2041</v>
      </c>
      <c r="B23" s="35">
        <f t="shared" si="6"/>
        <v>29488</v>
      </c>
      <c r="C23" s="36">
        <f t="shared" si="1"/>
        <v>26091</v>
      </c>
      <c r="D23" s="36">
        <f t="shared" si="2"/>
        <v>41332.800000000003</v>
      </c>
      <c r="E23" s="26"/>
      <c r="F23" s="40">
        <f>Mais!F23</f>
        <v>1552</v>
      </c>
      <c r="G23" s="40">
        <f>Mais!G23</f>
        <v>2924</v>
      </c>
      <c r="H23" s="40">
        <f>Mais!H23</f>
        <v>1372</v>
      </c>
      <c r="I23" s="26"/>
      <c r="J23" s="42">
        <f t="shared" si="3"/>
        <v>1556.5</v>
      </c>
      <c r="K23" s="42">
        <f t="shared" si="0"/>
        <v>2433.25</v>
      </c>
      <c r="L23" s="30"/>
      <c r="M23" s="44">
        <f t="shared" si="7"/>
        <v>280</v>
      </c>
      <c r="N23" s="44">
        <f t="shared" si="8"/>
        <v>125</v>
      </c>
      <c r="O23" s="44">
        <f t="shared" si="9"/>
        <v>752.5</v>
      </c>
      <c r="P23" s="29"/>
      <c r="Q23" s="81">
        <f t="shared" si="10"/>
        <v>16</v>
      </c>
      <c r="R23" s="81"/>
      <c r="S23" s="29"/>
      <c r="T23" s="13">
        <f>Q23*'Input en resultaat'!E$23</f>
        <v>2240</v>
      </c>
      <c r="U23" s="14">
        <v>2.35</v>
      </c>
      <c r="V23" s="112">
        <f t="shared" si="4"/>
        <v>115.14999999999999</v>
      </c>
      <c r="W23" s="15">
        <f>1.7*Q23*'Input en resultaat'!E$25</f>
        <v>13.6</v>
      </c>
      <c r="X23" s="16">
        <f t="shared" si="5"/>
        <v>761.6</v>
      </c>
      <c r="Y23" s="17">
        <f>'Input en resultaat'!E$30+'Input en resultaat'!E$31</f>
        <v>474</v>
      </c>
    </row>
    <row r="24" spans="1:25" x14ac:dyDescent="0.3">
      <c r="A24" s="23">
        <v>2042</v>
      </c>
      <c r="B24" s="35">
        <f t="shared" si="6"/>
        <v>31040</v>
      </c>
      <c r="C24" s="36">
        <f t="shared" si="1"/>
        <v>27647.5</v>
      </c>
      <c r="D24" s="36">
        <f t="shared" si="2"/>
        <v>43766.05</v>
      </c>
      <c r="E24" s="26"/>
      <c r="F24" s="40">
        <f>Mais!F24</f>
        <v>1552</v>
      </c>
      <c r="G24" s="40">
        <f>Mais!G24</f>
        <v>2924</v>
      </c>
      <c r="H24" s="40">
        <f>Mais!H24</f>
        <v>1372</v>
      </c>
      <c r="I24" s="26"/>
      <c r="J24" s="42">
        <f t="shared" si="3"/>
        <v>1556.5</v>
      </c>
      <c r="K24" s="42">
        <f t="shared" si="0"/>
        <v>2433.25</v>
      </c>
      <c r="L24" s="30"/>
      <c r="M24" s="44">
        <f t="shared" si="7"/>
        <v>280</v>
      </c>
      <c r="N24" s="44">
        <f t="shared" si="8"/>
        <v>125</v>
      </c>
      <c r="O24" s="44">
        <f t="shared" si="9"/>
        <v>752.5</v>
      </c>
      <c r="P24" s="29"/>
      <c r="Q24" s="81">
        <f t="shared" si="10"/>
        <v>16</v>
      </c>
      <c r="R24" s="81"/>
      <c r="S24" s="29"/>
      <c r="T24" s="13">
        <f>Q24*'Input en resultaat'!E$23</f>
        <v>2240</v>
      </c>
      <c r="U24" s="14">
        <v>2.35</v>
      </c>
      <c r="V24" s="112">
        <f t="shared" si="4"/>
        <v>115.14999999999999</v>
      </c>
      <c r="W24" s="15">
        <f>1.7*Q24*'Input en resultaat'!E$25</f>
        <v>13.6</v>
      </c>
      <c r="X24" s="16">
        <f t="shared" si="5"/>
        <v>761.6</v>
      </c>
      <c r="Y24" s="17">
        <f>'Input en resultaat'!E$30+'Input en resultaat'!E$31</f>
        <v>474</v>
      </c>
    </row>
    <row r="25" spans="1:25" ht="16.2" thickBot="1" x14ac:dyDescent="0.35">
      <c r="A25" s="23">
        <v>2043</v>
      </c>
      <c r="B25" s="35">
        <f t="shared" si="6"/>
        <v>32592</v>
      </c>
      <c r="C25" s="36">
        <f t="shared" si="1"/>
        <v>29204</v>
      </c>
      <c r="D25" s="36">
        <f t="shared" si="2"/>
        <v>46199.3</v>
      </c>
      <c r="E25" s="26"/>
      <c r="F25" s="40">
        <f>Mais!F25</f>
        <v>1552</v>
      </c>
      <c r="G25" s="40">
        <f>Mais!G25</f>
        <v>2924</v>
      </c>
      <c r="H25" s="40">
        <f>Mais!H25</f>
        <v>1372</v>
      </c>
      <c r="I25" s="26"/>
      <c r="J25" s="42">
        <f t="shared" si="3"/>
        <v>1556.5</v>
      </c>
      <c r="K25" s="42">
        <f t="shared" si="0"/>
        <v>2433.25</v>
      </c>
      <c r="L25" s="30"/>
      <c r="M25" s="44">
        <f t="shared" si="7"/>
        <v>280</v>
      </c>
      <c r="N25" s="44">
        <f t="shared" si="8"/>
        <v>125</v>
      </c>
      <c r="O25" s="44">
        <f t="shared" si="9"/>
        <v>752.5</v>
      </c>
      <c r="P25" s="29"/>
      <c r="Q25" s="81">
        <f t="shared" si="10"/>
        <v>16</v>
      </c>
      <c r="R25" s="81"/>
      <c r="S25" s="29"/>
      <c r="T25" s="18">
        <f>Q25*'Input en resultaat'!E$23</f>
        <v>2240</v>
      </c>
      <c r="U25" s="19">
        <v>2.35</v>
      </c>
      <c r="V25" s="113">
        <f t="shared" si="4"/>
        <v>115.14999999999999</v>
      </c>
      <c r="W25" s="20">
        <f>1.7*Q25*'Input en resultaat'!E$25</f>
        <v>13.6</v>
      </c>
      <c r="X25" s="21">
        <f t="shared" si="5"/>
        <v>761.6</v>
      </c>
      <c r="Y25" s="22">
        <f>'Input en resultaat'!E$30+'Input en resultaat'!E$31</f>
        <v>474</v>
      </c>
    </row>
    <row r="26" spans="1:25" x14ac:dyDescent="0.3">
      <c r="A26" s="23"/>
      <c r="B26" s="30"/>
      <c r="C26" s="23"/>
      <c r="D26" s="37" t="s">
        <v>78</v>
      </c>
      <c r="E26" s="31"/>
      <c r="F26" s="38">
        <f>AVERAGE(F5:F25)</f>
        <v>1552</v>
      </c>
      <c r="G26" s="31"/>
      <c r="H26" s="31"/>
      <c r="I26" s="31"/>
      <c r="J26" s="38">
        <f>AVERAGE(J5:J25)</f>
        <v>1390.6666666666667</v>
      </c>
      <c r="K26" s="38">
        <f>AVERAGE(K5:K25)</f>
        <v>2199.9666666666667</v>
      </c>
      <c r="L26" s="23"/>
      <c r="M26" s="23"/>
      <c r="N26" s="23"/>
      <c r="O26" s="23"/>
      <c r="P26" s="23"/>
      <c r="Q26" s="23"/>
      <c r="R26" s="23"/>
      <c r="S26" s="23"/>
      <c r="T26" s="23"/>
      <c r="U26" s="23"/>
      <c r="V26" s="23"/>
      <c r="W26" s="23"/>
      <c r="X26" s="23"/>
      <c r="Y26" s="23"/>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pans="2:15" s="23" customFormat="1" x14ac:dyDescent="0.3"/>
    <row r="50" spans="2:15" s="23" customFormat="1" x14ac:dyDescent="0.3"/>
    <row r="51" spans="2:15" s="23" customFormat="1" x14ac:dyDescent="0.3"/>
    <row r="52" spans="2:15" s="23" customFormat="1" x14ac:dyDescent="0.3"/>
    <row r="53" spans="2:15" s="23" customFormat="1" x14ac:dyDescent="0.3"/>
    <row r="54" spans="2:15" s="23" customFormat="1" x14ac:dyDescent="0.3"/>
    <row r="55" spans="2:15" s="23" customFormat="1" x14ac:dyDescent="0.3"/>
    <row r="56" spans="2:15" s="23" customFormat="1" x14ac:dyDescent="0.3"/>
    <row r="57" spans="2:15" s="23" customFormat="1" x14ac:dyDescent="0.3"/>
    <row r="58" spans="2:15" s="23" customFormat="1" x14ac:dyDescent="0.3"/>
    <row r="59" spans="2:15" s="23" customFormat="1" x14ac:dyDescent="0.3">
      <c r="B59" s="50" t="s">
        <v>82</v>
      </c>
      <c r="C59" s="51"/>
      <c r="D59" s="51"/>
      <c r="E59" s="51"/>
      <c r="F59" s="51"/>
      <c r="G59" s="51"/>
      <c r="H59" s="52"/>
    </row>
    <row r="60" spans="2:15" s="23" customFormat="1" x14ac:dyDescent="0.3">
      <c r="B60" s="314" t="s">
        <v>83</v>
      </c>
      <c r="C60" s="315"/>
      <c r="D60" s="316" t="s">
        <v>84</v>
      </c>
      <c r="E60" s="317"/>
      <c r="F60" s="49" t="s">
        <v>85</v>
      </c>
      <c r="G60" s="49" t="s">
        <v>86</v>
      </c>
      <c r="H60" s="49" t="s">
        <v>87</v>
      </c>
      <c r="J60" s="68" t="s">
        <v>88</v>
      </c>
      <c r="K60" s="68" t="s">
        <v>89</v>
      </c>
      <c r="L60" s="307" t="s">
        <v>90</v>
      </c>
      <c r="M60" s="308"/>
      <c r="N60" s="24"/>
      <c r="O60" s="48"/>
    </row>
    <row r="61" spans="2:15" s="23" customFormat="1" x14ac:dyDescent="0.3">
      <c r="B61" s="300" t="s">
        <v>91</v>
      </c>
      <c r="C61" s="301"/>
      <c r="D61" s="302">
        <v>1</v>
      </c>
      <c r="E61" s="303"/>
      <c r="F61" s="45" t="s">
        <v>92</v>
      </c>
      <c r="G61" s="47">
        <v>95</v>
      </c>
      <c r="H61" s="47">
        <f>D61*G61</f>
        <v>95</v>
      </c>
      <c r="J61" s="47">
        <f>H61</f>
        <v>95</v>
      </c>
      <c r="K61" s="47">
        <f>J61</f>
        <v>95</v>
      </c>
      <c r="L61" s="306">
        <f>K61</f>
        <v>95</v>
      </c>
      <c r="M61" s="303"/>
      <c r="N61" s="309"/>
      <c r="O61" s="48"/>
    </row>
    <row r="62" spans="2:15" s="23" customFormat="1" x14ac:dyDescent="0.3">
      <c r="B62" s="300" t="s">
        <v>93</v>
      </c>
      <c r="C62" s="301"/>
      <c r="D62" s="302">
        <v>1</v>
      </c>
      <c r="E62" s="303"/>
      <c r="F62" s="45" t="s">
        <v>94</v>
      </c>
      <c r="G62" s="47">
        <v>185</v>
      </c>
      <c r="H62" s="47">
        <f>D62*G62</f>
        <v>185</v>
      </c>
      <c r="J62" s="47">
        <f>H62</f>
        <v>185</v>
      </c>
      <c r="K62" s="47">
        <f>J62</f>
        <v>185</v>
      </c>
      <c r="L62" s="306">
        <f>K62</f>
        <v>185</v>
      </c>
      <c r="M62" s="303"/>
      <c r="N62" s="309"/>
      <c r="O62" s="48"/>
    </row>
    <row r="63" spans="2:15" s="23" customFormat="1" x14ac:dyDescent="0.3">
      <c r="B63" s="314" t="s">
        <v>95</v>
      </c>
      <c r="C63" s="315"/>
      <c r="D63" s="316"/>
      <c r="E63" s="317"/>
      <c r="F63" s="49"/>
      <c r="G63" s="49"/>
      <c r="H63" s="49"/>
      <c r="J63" s="33"/>
      <c r="K63" s="33"/>
      <c r="L63" s="302"/>
      <c r="M63" s="303"/>
      <c r="N63" s="309"/>
    </row>
    <row r="64" spans="2:15" s="23" customFormat="1" x14ac:dyDescent="0.3">
      <c r="B64" s="300" t="s">
        <v>96</v>
      </c>
      <c r="C64" s="301"/>
      <c r="D64" s="302">
        <v>1</v>
      </c>
      <c r="E64" s="303"/>
      <c r="F64" s="45" t="s">
        <v>94</v>
      </c>
      <c r="G64" s="47">
        <v>350</v>
      </c>
      <c r="H64" s="47">
        <f>D64*G64</f>
        <v>350</v>
      </c>
      <c r="J64" s="47">
        <f>H64</f>
        <v>350</v>
      </c>
      <c r="K64" s="47">
        <v>0</v>
      </c>
      <c r="L64" s="306">
        <v>0</v>
      </c>
      <c r="M64" s="303"/>
      <c r="N64" s="309"/>
    </row>
    <row r="65" spans="2:25" s="23" customFormat="1" x14ac:dyDescent="0.3">
      <c r="B65" s="300" t="s">
        <v>97</v>
      </c>
      <c r="C65" s="301"/>
      <c r="D65" s="302">
        <v>35</v>
      </c>
      <c r="E65" s="303"/>
      <c r="F65" s="45" t="s">
        <v>98</v>
      </c>
      <c r="G65" s="47">
        <v>7</v>
      </c>
      <c r="H65" s="47">
        <f>D65*G65</f>
        <v>245</v>
      </c>
      <c r="J65" s="47">
        <f>H65</f>
        <v>245</v>
      </c>
      <c r="K65" s="47">
        <v>0</v>
      </c>
      <c r="L65" s="306">
        <v>0</v>
      </c>
      <c r="M65" s="303"/>
      <c r="N65" s="309"/>
    </row>
    <row r="66" spans="2:25" s="23" customFormat="1" x14ac:dyDescent="0.3">
      <c r="B66" s="314" t="s">
        <v>99</v>
      </c>
      <c r="C66" s="315"/>
      <c r="D66" s="55"/>
      <c r="E66" s="55"/>
      <c r="F66" s="55"/>
      <c r="G66" s="56"/>
      <c r="H66" s="57"/>
      <c r="J66" s="33"/>
      <c r="K66" s="33"/>
      <c r="L66" s="302"/>
      <c r="M66" s="303"/>
    </row>
    <row r="67" spans="2:25" s="23" customFormat="1" x14ac:dyDescent="0.3">
      <c r="B67" s="300" t="s">
        <v>100</v>
      </c>
      <c r="C67" s="301"/>
      <c r="D67" s="302"/>
      <c r="E67" s="303"/>
      <c r="F67" s="45"/>
      <c r="G67" s="47"/>
      <c r="H67" s="47"/>
      <c r="J67" s="47">
        <f>H67</f>
        <v>0</v>
      </c>
      <c r="K67" s="47">
        <f t="shared" ref="K67:L70" si="11">J67</f>
        <v>0</v>
      </c>
      <c r="L67" s="306">
        <f t="shared" si="11"/>
        <v>0</v>
      </c>
      <c r="M67" s="303"/>
    </row>
    <row r="68" spans="2:25" s="23" customFormat="1" x14ac:dyDescent="0.3">
      <c r="B68" s="300" t="s">
        <v>101</v>
      </c>
      <c r="C68" s="301"/>
      <c r="D68" s="302"/>
      <c r="E68" s="303"/>
      <c r="F68" s="45"/>
      <c r="G68" s="47"/>
      <c r="H68" s="47"/>
      <c r="J68" s="47">
        <f t="shared" ref="J68:J70" si="12">H68</f>
        <v>0</v>
      </c>
      <c r="K68" s="47">
        <f t="shared" si="11"/>
        <v>0</v>
      </c>
      <c r="L68" s="306">
        <f t="shared" si="11"/>
        <v>0</v>
      </c>
      <c r="M68" s="303"/>
    </row>
    <row r="69" spans="2:25" s="23" customFormat="1" x14ac:dyDescent="0.3">
      <c r="B69" s="300" t="s">
        <v>102</v>
      </c>
      <c r="C69" s="301"/>
      <c r="D69" s="302">
        <v>0.5</v>
      </c>
      <c r="E69" s="303"/>
      <c r="F69" s="45" t="s">
        <v>92</v>
      </c>
      <c r="G69" s="47">
        <v>120</v>
      </c>
      <c r="H69" s="47">
        <f>D69*G69</f>
        <v>60</v>
      </c>
      <c r="J69" s="47">
        <f t="shared" si="12"/>
        <v>60</v>
      </c>
      <c r="K69" s="47">
        <f t="shared" si="11"/>
        <v>60</v>
      </c>
      <c r="L69" s="306">
        <f t="shared" si="11"/>
        <v>60</v>
      </c>
      <c r="M69" s="303"/>
    </row>
    <row r="70" spans="2:25" s="23" customFormat="1" x14ac:dyDescent="0.3">
      <c r="B70" s="300" t="s">
        <v>103</v>
      </c>
      <c r="C70" s="301"/>
      <c r="D70" s="302">
        <v>65</v>
      </c>
      <c r="E70" s="303"/>
      <c r="F70" s="45" t="s">
        <v>104</v>
      </c>
      <c r="G70" s="47">
        <v>1</v>
      </c>
      <c r="H70" s="47">
        <f>D70*G70</f>
        <v>65</v>
      </c>
      <c r="J70" s="47">
        <f t="shared" si="12"/>
        <v>65</v>
      </c>
      <c r="K70" s="47">
        <f t="shared" si="11"/>
        <v>65</v>
      </c>
      <c r="L70" s="306">
        <f t="shared" si="11"/>
        <v>65</v>
      </c>
      <c r="M70" s="303"/>
    </row>
    <row r="71" spans="2:25" s="23" customFormat="1" x14ac:dyDescent="0.3">
      <c r="B71" s="58" t="s">
        <v>105</v>
      </c>
      <c r="C71" s="59"/>
      <c r="D71" s="60"/>
      <c r="E71" s="60"/>
      <c r="F71" s="60"/>
      <c r="G71" s="61"/>
      <c r="H71" s="62"/>
      <c r="J71" s="33"/>
      <c r="K71" s="33"/>
      <c r="L71" s="302"/>
      <c r="M71" s="303"/>
    </row>
    <row r="72" spans="2:25" s="23" customFormat="1" x14ac:dyDescent="0.3">
      <c r="B72" s="300" t="s">
        <v>106</v>
      </c>
      <c r="C72" s="301"/>
      <c r="D72" s="313" t="s">
        <v>107</v>
      </c>
      <c r="E72" s="303"/>
      <c r="F72" s="45" t="s">
        <v>92</v>
      </c>
      <c r="G72" s="47">
        <v>225</v>
      </c>
      <c r="H72" s="47">
        <f>D72*G72</f>
        <v>112.5</v>
      </c>
      <c r="J72" s="46" t="s">
        <v>45</v>
      </c>
      <c r="K72" s="47">
        <f>H72</f>
        <v>112.5</v>
      </c>
      <c r="L72" s="306">
        <f>K72</f>
        <v>112.5</v>
      </c>
      <c r="M72" s="303"/>
    </row>
    <row r="73" spans="2:25" s="23" customFormat="1" x14ac:dyDescent="0.3">
      <c r="B73" s="300" t="s">
        <v>108</v>
      </c>
      <c r="C73" s="301"/>
      <c r="D73" s="302">
        <v>2</v>
      </c>
      <c r="E73" s="303"/>
      <c r="F73" s="45" t="s">
        <v>109</v>
      </c>
      <c r="G73" s="47">
        <v>50</v>
      </c>
      <c r="H73" s="47">
        <f t="shared" ref="H73:H81" si="13">D73*G73</f>
        <v>100</v>
      </c>
      <c r="J73" s="46" t="s">
        <v>45</v>
      </c>
      <c r="K73" s="46" t="s">
        <v>45</v>
      </c>
      <c r="L73" s="302" t="s">
        <v>45</v>
      </c>
      <c r="M73" s="303"/>
    </row>
    <row r="74" spans="2:25" s="23" customFormat="1" x14ac:dyDescent="0.3">
      <c r="B74" s="300" t="s">
        <v>110</v>
      </c>
      <c r="C74" s="301"/>
      <c r="D74" s="302">
        <v>1</v>
      </c>
      <c r="E74" s="303"/>
      <c r="F74" s="45" t="s">
        <v>94</v>
      </c>
      <c r="G74" s="47">
        <v>25</v>
      </c>
      <c r="H74" s="47">
        <f t="shared" si="13"/>
        <v>25</v>
      </c>
      <c r="J74" s="46" t="s">
        <v>45</v>
      </c>
      <c r="K74" s="46" t="s">
        <v>45</v>
      </c>
      <c r="L74" s="302" t="s">
        <v>45</v>
      </c>
      <c r="M74" s="303"/>
    </row>
    <row r="75" spans="2:25" s="23" customFormat="1" x14ac:dyDescent="0.3">
      <c r="B75" s="300" t="s">
        <v>111</v>
      </c>
      <c r="C75" s="301"/>
      <c r="D75" s="302">
        <v>1</v>
      </c>
      <c r="E75" s="303"/>
      <c r="F75" s="45" t="s">
        <v>94</v>
      </c>
      <c r="G75" s="47">
        <v>205</v>
      </c>
      <c r="H75" s="47">
        <f t="shared" si="13"/>
        <v>205</v>
      </c>
      <c r="J75" s="46" t="s">
        <v>45</v>
      </c>
      <c r="K75" s="47">
        <f>H75</f>
        <v>205</v>
      </c>
      <c r="L75" s="306">
        <f>K75</f>
        <v>205</v>
      </c>
      <c r="M75" s="303"/>
    </row>
    <row r="76" spans="2:25" s="23" customFormat="1" x14ac:dyDescent="0.3">
      <c r="B76" s="300" t="s">
        <v>112</v>
      </c>
      <c r="C76" s="301"/>
      <c r="D76" s="302">
        <v>1</v>
      </c>
      <c r="E76" s="303"/>
      <c r="F76" s="45" t="s">
        <v>92</v>
      </c>
      <c r="G76" s="47">
        <v>85</v>
      </c>
      <c r="H76" s="47">
        <f t="shared" si="13"/>
        <v>85</v>
      </c>
      <c r="J76" s="46" t="s">
        <v>45</v>
      </c>
      <c r="K76" s="47">
        <f t="shared" ref="K76:K77" si="14">H76</f>
        <v>85</v>
      </c>
      <c r="L76" s="306">
        <f t="shared" ref="L76:L77" si="15">K76</f>
        <v>85</v>
      </c>
      <c r="M76" s="303"/>
    </row>
    <row r="77" spans="2:25" s="23" customFormat="1" x14ac:dyDescent="0.3">
      <c r="B77" s="300" t="s">
        <v>113</v>
      </c>
      <c r="C77" s="301"/>
      <c r="D77" s="302">
        <v>35</v>
      </c>
      <c r="E77" s="303"/>
      <c r="F77" s="45" t="s">
        <v>114</v>
      </c>
      <c r="G77" s="47">
        <v>10</v>
      </c>
      <c r="H77" s="47">
        <f>IF('Input en resultaat'!E22=("centraal verwerkt"),(Zonnekroon!D77*Zonnekroon!G77),100)</f>
        <v>350</v>
      </c>
      <c r="J77" s="46" t="s">
        <v>45</v>
      </c>
      <c r="K77" s="47">
        <f t="shared" si="14"/>
        <v>350</v>
      </c>
      <c r="L77" s="306">
        <f t="shared" si="15"/>
        <v>350</v>
      </c>
      <c r="M77" s="303"/>
    </row>
    <row r="78" spans="2:25" s="23" customFormat="1" x14ac:dyDescent="0.3">
      <c r="B78" s="58" t="s">
        <v>115</v>
      </c>
      <c r="C78" s="59"/>
      <c r="D78" s="60"/>
      <c r="E78" s="60"/>
      <c r="F78" s="60"/>
      <c r="G78" s="61"/>
      <c r="H78" s="62"/>
      <c r="J78" s="92"/>
      <c r="K78" s="92"/>
      <c r="L78" s="93"/>
      <c r="M78" s="76"/>
    </row>
    <row r="79" spans="2:25" s="23" customFormat="1" x14ac:dyDescent="0.3">
      <c r="B79" s="300" t="s">
        <v>116</v>
      </c>
      <c r="C79" s="301"/>
      <c r="D79" s="302">
        <v>0</v>
      </c>
      <c r="E79" s="303"/>
      <c r="F79" s="45" t="s">
        <v>117</v>
      </c>
      <c r="G79" s="47">
        <v>150</v>
      </c>
      <c r="H79" s="47">
        <f>D79*G79</f>
        <v>0</v>
      </c>
      <c r="J79" s="92">
        <f t="shared" ref="J79" si="16">H79</f>
        <v>0</v>
      </c>
      <c r="K79" s="92">
        <f t="shared" ref="K79:L79" si="17">J79</f>
        <v>0</v>
      </c>
      <c r="L79" s="304">
        <f t="shared" si="17"/>
        <v>0</v>
      </c>
      <c r="M79" s="305"/>
    </row>
    <row r="80" spans="2:25" x14ac:dyDescent="0.3">
      <c r="B80" s="63" t="s">
        <v>118</v>
      </c>
      <c r="C80" s="64"/>
      <c r="D80" s="65"/>
      <c r="E80" s="65"/>
      <c r="F80" s="65"/>
      <c r="G80" s="66"/>
      <c r="H80" s="67"/>
      <c r="I80" s="23"/>
      <c r="J80" s="33"/>
      <c r="K80" s="33"/>
      <c r="L80" s="302"/>
      <c r="M80" s="303"/>
      <c r="N80" s="23"/>
      <c r="O80" s="23"/>
      <c r="P80" s="23"/>
      <c r="Q80" s="23"/>
      <c r="R80" s="23"/>
      <c r="S80" s="23"/>
      <c r="T80" s="23"/>
      <c r="U80" s="23"/>
      <c r="V80" s="23"/>
      <c r="W80" s="23"/>
      <c r="X80" s="23"/>
      <c r="Y80" s="23"/>
    </row>
    <row r="81" spans="2:25" x14ac:dyDescent="0.3">
      <c r="B81" s="300" t="s">
        <v>119</v>
      </c>
      <c r="C81" s="301"/>
      <c r="D81" s="302">
        <v>0.25</v>
      </c>
      <c r="E81" s="303"/>
      <c r="F81" s="45" t="s">
        <v>92</v>
      </c>
      <c r="G81" s="47">
        <v>100</v>
      </c>
      <c r="H81" s="47">
        <f t="shared" si="13"/>
        <v>25</v>
      </c>
      <c r="I81" s="23"/>
      <c r="J81" s="47">
        <f>H81</f>
        <v>25</v>
      </c>
      <c r="K81" s="47">
        <v>0</v>
      </c>
      <c r="L81" s="306">
        <v>0</v>
      </c>
      <c r="M81" s="303"/>
      <c r="N81" s="23"/>
      <c r="O81" s="23"/>
      <c r="P81" s="23"/>
      <c r="Q81" s="23"/>
      <c r="R81" s="23"/>
      <c r="S81" s="23"/>
      <c r="T81" s="23"/>
      <c r="U81" s="23"/>
      <c r="V81" s="23"/>
      <c r="W81" s="23"/>
      <c r="X81" s="23"/>
      <c r="Y81" s="23"/>
    </row>
    <row r="82" spans="2:25" x14ac:dyDescent="0.3">
      <c r="B82" s="63" t="s">
        <v>120</v>
      </c>
      <c r="C82" s="64"/>
      <c r="D82" s="65"/>
      <c r="E82" s="65"/>
      <c r="F82" s="65"/>
      <c r="G82" s="66"/>
      <c r="H82" s="67"/>
      <c r="I82" s="23"/>
      <c r="J82" s="33"/>
      <c r="K82" s="33"/>
      <c r="L82" s="302"/>
      <c r="M82" s="303"/>
      <c r="N82" s="23"/>
      <c r="O82" s="23"/>
      <c r="P82" s="23"/>
      <c r="Q82" s="23"/>
      <c r="R82" s="23"/>
      <c r="S82" s="23"/>
      <c r="T82" s="23"/>
      <c r="U82" s="23"/>
      <c r="V82" s="23"/>
      <c r="W82" s="23"/>
      <c r="X82" s="23"/>
      <c r="Y82" s="23"/>
    </row>
    <row r="83" spans="2:25" x14ac:dyDescent="0.3">
      <c r="B83" s="300" t="s">
        <v>121</v>
      </c>
      <c r="C83" s="301"/>
      <c r="D83" s="312"/>
      <c r="E83" s="305"/>
      <c r="F83" s="33"/>
      <c r="G83" s="33"/>
      <c r="H83" s="33">
        <f>'Input en resultaat'!K7+'Input en resultaat'!M7</f>
        <v>0</v>
      </c>
      <c r="I83" s="23"/>
      <c r="J83" s="33">
        <f>H83</f>
        <v>0</v>
      </c>
      <c r="K83" s="33">
        <f>H83</f>
        <v>0</v>
      </c>
      <c r="L83" s="302">
        <f>H83</f>
        <v>0</v>
      </c>
      <c r="M83" s="303"/>
      <c r="N83" s="23"/>
      <c r="O83" s="23"/>
      <c r="P83" s="23"/>
      <c r="Q83" s="23"/>
      <c r="R83" s="23"/>
      <c r="S83" s="23"/>
      <c r="T83" s="23"/>
      <c r="U83" s="23"/>
      <c r="V83" s="23"/>
      <c r="W83" s="23"/>
      <c r="X83" s="23"/>
      <c r="Y83" s="23"/>
    </row>
    <row r="84" spans="2:25" x14ac:dyDescent="0.3">
      <c r="B84" s="23"/>
      <c r="C84" s="23"/>
      <c r="D84" s="23"/>
      <c r="E84" s="23"/>
      <c r="F84" s="23"/>
      <c r="G84" s="53" t="s">
        <v>87</v>
      </c>
      <c r="H84" s="54">
        <f>SUM(H61:H83)</f>
        <v>1902.5</v>
      </c>
      <c r="I84" s="23"/>
      <c r="J84" s="54">
        <f>SUM(J61:J83)</f>
        <v>1025</v>
      </c>
      <c r="K84" s="54">
        <f t="shared" ref="K84" si="18">SUM(K61:K83)</f>
        <v>1157.5</v>
      </c>
      <c r="L84" s="310">
        <f>SUM(L61:M83)</f>
        <v>1157.5</v>
      </c>
      <c r="M84" s="311"/>
      <c r="N84" s="23"/>
      <c r="O84" s="23"/>
      <c r="P84" s="23"/>
      <c r="Q84" s="23"/>
      <c r="R84" s="23"/>
      <c r="S84" s="23"/>
      <c r="T84" s="23"/>
      <c r="U84" s="23"/>
      <c r="V84" s="23"/>
      <c r="W84" s="23"/>
      <c r="X84" s="23"/>
      <c r="Y84" s="23"/>
    </row>
    <row r="85" spans="2:25" s="23" customFormat="1" x14ac:dyDescent="0.3"/>
    <row r="86" spans="2:25" s="23" customFormat="1" x14ac:dyDescent="0.3"/>
    <row r="87" spans="2:25" s="23" customFormat="1" x14ac:dyDescent="0.3"/>
    <row r="88" spans="2:25" s="23" customFormat="1" x14ac:dyDescent="0.3"/>
    <row r="89" spans="2:25" s="23" customFormat="1" x14ac:dyDescent="0.3"/>
    <row r="90" spans="2:25" s="23" customFormat="1" x14ac:dyDescent="0.3"/>
    <row r="91" spans="2:25" s="23" customFormat="1" x14ac:dyDescent="0.3"/>
    <row r="92" spans="2:25" s="23" customFormat="1" x14ac:dyDescent="0.3"/>
    <row r="93" spans="2:25" s="23" customFormat="1" x14ac:dyDescent="0.3"/>
    <row r="94" spans="2:25" s="23" customFormat="1" x14ac:dyDescent="0.3"/>
    <row r="95" spans="2:25" s="23" customFormat="1" x14ac:dyDescent="0.3"/>
    <row r="96" spans="2:25"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pans="10:25" x14ac:dyDescent="0.3">
      <c r="J113" s="23"/>
      <c r="K113" s="23"/>
      <c r="L113" s="23"/>
      <c r="M113" s="23"/>
      <c r="N113" s="23"/>
      <c r="O113" s="23"/>
      <c r="P113" s="23"/>
      <c r="Q113" s="23"/>
      <c r="R113" s="23"/>
      <c r="S113" s="23"/>
      <c r="T113" s="23"/>
      <c r="U113" s="23"/>
      <c r="V113" s="23"/>
      <c r="W113" s="23"/>
      <c r="X113" s="23"/>
      <c r="Y113" s="23"/>
    </row>
    <row r="114" spans="10:25" x14ac:dyDescent="0.3">
      <c r="J114" s="23"/>
      <c r="K114" s="23"/>
      <c r="L114" s="23"/>
      <c r="M114" s="23"/>
      <c r="N114" s="23"/>
      <c r="O114" s="23"/>
      <c r="P114" s="23"/>
      <c r="Q114" s="23"/>
      <c r="R114" s="23"/>
      <c r="S114" s="23"/>
      <c r="T114" s="23"/>
      <c r="U114" s="23"/>
      <c r="V114" s="23"/>
      <c r="W114" s="23"/>
      <c r="X114" s="23"/>
      <c r="Y114" s="23"/>
    </row>
    <row r="115" spans="10:25" x14ac:dyDescent="0.3">
      <c r="J115" s="23"/>
      <c r="K115" s="23"/>
      <c r="L115" s="23"/>
      <c r="M115" s="23"/>
      <c r="N115" s="23"/>
      <c r="O115" s="23"/>
      <c r="P115" s="23"/>
      <c r="Q115" s="23"/>
      <c r="R115" s="23"/>
      <c r="S115" s="23"/>
      <c r="T115" s="23"/>
      <c r="U115" s="23"/>
      <c r="V115" s="23"/>
      <c r="W115" s="23"/>
      <c r="X115" s="23"/>
      <c r="Y115" s="23"/>
    </row>
  </sheetData>
  <mergeCells count="72">
    <mergeCell ref="B3:D3"/>
    <mergeCell ref="J3:K3"/>
    <mergeCell ref="M3:O3"/>
    <mergeCell ref="F3:H3"/>
    <mergeCell ref="B60:C60"/>
    <mergeCell ref="D60:E60"/>
    <mergeCell ref="B61:C61"/>
    <mergeCell ref="D61:E61"/>
    <mergeCell ref="B62:C62"/>
    <mergeCell ref="D62:E62"/>
    <mergeCell ref="B63:C63"/>
    <mergeCell ref="D63:E63"/>
    <mergeCell ref="B64:C64"/>
    <mergeCell ref="D64:E64"/>
    <mergeCell ref="B65:C65"/>
    <mergeCell ref="D65:E65"/>
    <mergeCell ref="B66:C66"/>
    <mergeCell ref="B67:C67"/>
    <mergeCell ref="D67:E67"/>
    <mergeCell ref="B68:C68"/>
    <mergeCell ref="D68:E68"/>
    <mergeCell ref="B69:C69"/>
    <mergeCell ref="D69:E69"/>
    <mergeCell ref="B70:C70"/>
    <mergeCell ref="D70:E70"/>
    <mergeCell ref="B72:C72"/>
    <mergeCell ref="D72:E72"/>
    <mergeCell ref="B73:C73"/>
    <mergeCell ref="D73:E73"/>
    <mergeCell ref="B74:C74"/>
    <mergeCell ref="D74:E74"/>
    <mergeCell ref="B75:C75"/>
    <mergeCell ref="D75:E75"/>
    <mergeCell ref="B76:C76"/>
    <mergeCell ref="D76:E76"/>
    <mergeCell ref="B77:C77"/>
    <mergeCell ref="D77:E77"/>
    <mergeCell ref="B81:C81"/>
    <mergeCell ref="D81:E81"/>
    <mergeCell ref="B83:C83"/>
    <mergeCell ref="D83:E83"/>
    <mergeCell ref="L68:M68"/>
    <mergeCell ref="L69:M69"/>
    <mergeCell ref="L70:M70"/>
    <mergeCell ref="L84:M84"/>
    <mergeCell ref="L73:M73"/>
    <mergeCell ref="L74:M74"/>
    <mergeCell ref="L75:M75"/>
    <mergeCell ref="L76:M76"/>
    <mergeCell ref="L77:M77"/>
    <mergeCell ref="L80:M80"/>
    <mergeCell ref="L81:M81"/>
    <mergeCell ref="L82:M82"/>
    <mergeCell ref="L83:M83"/>
    <mergeCell ref="L71:M71"/>
    <mergeCell ref="L72:M72"/>
    <mergeCell ref="U4:V4"/>
    <mergeCell ref="W4:X4"/>
    <mergeCell ref="Q2:R2"/>
    <mergeCell ref="Q3:R3"/>
    <mergeCell ref="B79:C79"/>
    <mergeCell ref="D79:E79"/>
    <mergeCell ref="L79:M79"/>
    <mergeCell ref="L61:M61"/>
    <mergeCell ref="L62:M62"/>
    <mergeCell ref="L60:M60"/>
    <mergeCell ref="N61:N65"/>
    <mergeCell ref="L63:M63"/>
    <mergeCell ref="L64:M64"/>
    <mergeCell ref="L65:M65"/>
    <mergeCell ref="L66:M66"/>
    <mergeCell ref="L67:M67"/>
  </mergeCells>
  <pageMargins left="0.7" right="0.7" top="0.75" bottom="0.75" header="0.3" footer="0.3"/>
  <pageSetup paperSize="9" scale="56"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1B8A-5D7A-8E4B-983C-E3D6B65432B8}">
  <sheetPr codeName="Blad4">
    <tabColor theme="9"/>
    <pageSetUpPr fitToPage="1"/>
  </sheetPr>
  <dimension ref="A1:AV153"/>
  <sheetViews>
    <sheetView zoomScale="115" zoomScaleNormal="115" workbookViewId="0">
      <selection activeCell="Y2" sqref="Y2:Y25"/>
    </sheetView>
  </sheetViews>
  <sheetFormatPr defaultColWidth="11" defaultRowHeight="15.6" x14ac:dyDescent="0.3"/>
  <cols>
    <col min="1" max="1" width="5.8984375" style="23" customWidth="1"/>
    <col min="2" max="2" width="12.3984375" customWidth="1"/>
    <col min="3" max="3" width="14.09765625" customWidth="1"/>
    <col min="4" max="4" width="13.69921875" customWidth="1"/>
    <col min="5" max="5" width="2" style="23" customWidth="1"/>
    <col min="6" max="8" width="12.8984375" customWidth="1"/>
    <col min="9" max="9" width="2.19921875" style="23" customWidth="1"/>
    <col min="10" max="11" width="12.19921875" customWidth="1"/>
    <col min="12" max="12" width="2.19921875" style="23" customWidth="1"/>
    <col min="13" max="14" width="10.8984375" customWidth="1"/>
    <col min="15" max="15" width="11.3984375" customWidth="1"/>
    <col min="16" max="16" width="1.3984375" style="23" customWidth="1"/>
    <col min="17" max="18" width="9.5" style="23" customWidth="1"/>
    <col min="19" max="19" width="1.5" style="23" customWidth="1"/>
    <col min="20" max="25" width="12.09765625" customWidth="1"/>
    <col min="26" max="48" width="11" style="23"/>
  </cols>
  <sheetData>
    <row r="1" spans="1:48" s="23" customFormat="1" ht="16.2" thickBot="1" x14ac:dyDescent="0.35">
      <c r="A1" s="24" t="s">
        <v>56</v>
      </c>
    </row>
    <row r="2" spans="1:48" s="23" customFormat="1" ht="16.2" thickBot="1" x14ac:dyDescent="0.35">
      <c r="A2" s="24"/>
      <c r="Q2" s="289" t="s">
        <v>57</v>
      </c>
      <c r="R2" s="290"/>
      <c r="T2" s="3"/>
      <c r="U2" s="4" t="s">
        <v>58</v>
      </c>
      <c r="V2" s="98">
        <f>'Input en resultaat'!F29</f>
        <v>0</v>
      </c>
      <c r="W2" s="5" t="s">
        <v>58</v>
      </c>
      <c r="X2" s="85">
        <f>'Input en resultaat'!F27</f>
        <v>0.8</v>
      </c>
      <c r="Y2" s="7"/>
    </row>
    <row r="3" spans="1:48" s="1" customFormat="1" ht="16.2" thickBot="1" x14ac:dyDescent="0.35">
      <c r="A3" s="24"/>
      <c r="B3" s="296" t="s">
        <v>122</v>
      </c>
      <c r="C3" s="296"/>
      <c r="D3" s="296"/>
      <c r="E3" s="24"/>
      <c r="F3" s="299" t="s">
        <v>60</v>
      </c>
      <c r="G3" s="299"/>
      <c r="H3" s="299"/>
      <c r="I3" s="24"/>
      <c r="J3" s="297" t="s">
        <v>123</v>
      </c>
      <c r="K3" s="297"/>
      <c r="L3" s="24"/>
      <c r="M3" s="298" t="s">
        <v>124</v>
      </c>
      <c r="N3" s="298"/>
      <c r="O3" s="298"/>
      <c r="P3" s="27"/>
      <c r="Q3" s="291" t="s">
        <v>63</v>
      </c>
      <c r="R3" s="291"/>
      <c r="S3" s="27"/>
      <c r="T3" s="90" t="s">
        <v>57</v>
      </c>
      <c r="U3" s="8"/>
      <c r="V3" s="86">
        <f>'Input en resultaat'!F28</f>
        <v>0</v>
      </c>
      <c r="W3" s="9"/>
      <c r="X3" s="87">
        <f>'Input en resultaat'!F26</f>
        <v>70</v>
      </c>
      <c r="Y3" s="90" t="s">
        <v>57</v>
      </c>
      <c r="Z3" s="24"/>
      <c r="AA3" s="24"/>
      <c r="AB3" s="24"/>
      <c r="AC3" s="24"/>
      <c r="AD3" s="24"/>
      <c r="AE3" s="24"/>
      <c r="AF3" s="24"/>
      <c r="AG3" s="24"/>
      <c r="AH3" s="24"/>
      <c r="AI3" s="24"/>
      <c r="AJ3" s="24"/>
      <c r="AK3" s="24"/>
      <c r="AL3" s="24"/>
      <c r="AM3" s="24"/>
      <c r="AN3" s="24"/>
      <c r="AO3" s="24"/>
      <c r="AP3" s="24"/>
      <c r="AQ3" s="24"/>
      <c r="AR3" s="24"/>
      <c r="AS3" s="24"/>
      <c r="AT3" s="24"/>
      <c r="AU3" s="24"/>
      <c r="AV3" s="24"/>
    </row>
    <row r="4" spans="1:48" s="2" customFormat="1" ht="31.8" thickBot="1" x14ac:dyDescent="0.35">
      <c r="A4" s="25"/>
      <c r="B4" s="34" t="s">
        <v>125</v>
      </c>
      <c r="C4" s="34" t="s">
        <v>64</v>
      </c>
      <c r="D4" s="34" t="s">
        <v>65</v>
      </c>
      <c r="E4" s="25"/>
      <c r="F4" s="39" t="s">
        <v>66</v>
      </c>
      <c r="G4" s="39" t="s">
        <v>67</v>
      </c>
      <c r="H4" s="39" t="s">
        <v>68</v>
      </c>
      <c r="I4" s="25"/>
      <c r="J4" s="41" t="s">
        <v>69</v>
      </c>
      <c r="K4" s="41" t="s">
        <v>65</v>
      </c>
      <c r="L4" s="25"/>
      <c r="M4" s="43" t="s">
        <v>70</v>
      </c>
      <c r="N4" s="43" t="s">
        <v>71</v>
      </c>
      <c r="O4" s="43" t="s">
        <v>81</v>
      </c>
      <c r="P4" s="28"/>
      <c r="Q4" s="80" t="s">
        <v>73</v>
      </c>
      <c r="R4" s="80" t="s">
        <v>126</v>
      </c>
      <c r="T4" s="11" t="s">
        <v>74</v>
      </c>
      <c r="U4" s="292" t="s">
        <v>75</v>
      </c>
      <c r="V4" s="293"/>
      <c r="W4" s="294" t="s">
        <v>76</v>
      </c>
      <c r="X4" s="295"/>
      <c r="Y4" s="12" t="s">
        <v>77</v>
      </c>
      <c r="Z4" s="25"/>
      <c r="AA4" s="25"/>
      <c r="AB4" s="25"/>
      <c r="AC4" s="25"/>
      <c r="AD4" s="25"/>
      <c r="AE4" s="25"/>
      <c r="AF4" s="25"/>
      <c r="AG4" s="25"/>
      <c r="AH4" s="25"/>
      <c r="AI4" s="25"/>
      <c r="AJ4" s="25"/>
      <c r="AK4" s="25"/>
      <c r="AL4" s="25"/>
      <c r="AM4" s="25"/>
      <c r="AN4" s="25"/>
      <c r="AO4" s="25"/>
      <c r="AP4" s="25"/>
      <c r="AQ4" s="25"/>
      <c r="AR4" s="25"/>
      <c r="AS4" s="25"/>
      <c r="AT4" s="25"/>
      <c r="AU4" s="25"/>
      <c r="AV4" s="25"/>
    </row>
    <row r="5" spans="1:48" x14ac:dyDescent="0.3">
      <c r="A5" s="23">
        <v>2023</v>
      </c>
      <c r="B5" s="35">
        <f>F5</f>
        <v>1552</v>
      </c>
      <c r="C5" s="36">
        <f>J5</f>
        <v>1284.25</v>
      </c>
      <c r="D5" s="36">
        <f>K5</f>
        <v>1778.1699999999998</v>
      </c>
      <c r="E5" s="26"/>
      <c r="F5" s="40">
        <f>Mais!F5</f>
        <v>1552</v>
      </c>
      <c r="G5" s="40">
        <f>Mais!G5</f>
        <v>2924</v>
      </c>
      <c r="H5" s="40">
        <f>Mais!H5</f>
        <v>1372</v>
      </c>
      <c r="I5" s="26"/>
      <c r="J5" s="42">
        <f t="shared" ref="J5:J25" si="0">T5+Y5-M5-N5-O5</f>
        <v>1284.25</v>
      </c>
      <c r="K5" s="42">
        <f t="shared" ref="K5:K25" si="1">J5+V5+X5</f>
        <v>1778.1699999999998</v>
      </c>
      <c r="L5" s="30"/>
      <c r="M5" s="44">
        <f>SUM(J61:J65)</f>
        <v>428.75</v>
      </c>
      <c r="N5" s="44">
        <f>SUM(J67:J70)</f>
        <v>17.5</v>
      </c>
      <c r="O5" s="44">
        <f>SUM(J72:J83)</f>
        <v>903.5</v>
      </c>
      <c r="P5" s="29"/>
      <c r="Q5" s="81">
        <f>'Input en resultaat'!F18</f>
        <v>9</v>
      </c>
      <c r="R5" s="81"/>
      <c r="T5" s="13">
        <f>Q5*'Input en resultaat'!F$23</f>
        <v>2160</v>
      </c>
      <c r="U5" s="14">
        <v>0.4</v>
      </c>
      <c r="V5" s="127">
        <f>U5*V$3*V$2</f>
        <v>0</v>
      </c>
      <c r="W5" s="15">
        <f>1.4*Q5*'Input en resultaat'!F$25</f>
        <v>8.8199999999999985</v>
      </c>
      <c r="X5" s="16">
        <f t="shared" ref="X5:X25" si="2">W5*(X$3*X$2)</f>
        <v>493.9199999999999</v>
      </c>
      <c r="Y5" s="17">
        <f>'Input en resultaat'!F$30+'Input en resultaat'!F$31</f>
        <v>474</v>
      </c>
    </row>
    <row r="6" spans="1:48" x14ac:dyDescent="0.3">
      <c r="A6" s="23">
        <v>2024</v>
      </c>
      <c r="B6" s="35">
        <f t="shared" ref="B6:B25" si="3">B5+F6</f>
        <v>3104</v>
      </c>
      <c r="C6" s="36">
        <f t="shared" ref="C6:C25" si="4">C5+J6</f>
        <v>2568.5</v>
      </c>
      <c r="D6" s="36">
        <f t="shared" ref="D6:D25" si="5">D5+K6</f>
        <v>3556.3399999999997</v>
      </c>
      <c r="E6" s="26"/>
      <c r="F6" s="40">
        <f>Mais!F6</f>
        <v>1552</v>
      </c>
      <c r="G6" s="40">
        <f>Mais!G6</f>
        <v>2924</v>
      </c>
      <c r="H6" s="40">
        <f>Mais!H6</f>
        <v>1372</v>
      </c>
      <c r="I6" s="26"/>
      <c r="J6" s="42">
        <f t="shared" si="0"/>
        <v>1284.25</v>
      </c>
      <c r="K6" s="42">
        <f t="shared" si="1"/>
        <v>1778.1699999999998</v>
      </c>
      <c r="L6" s="30"/>
      <c r="M6" s="44">
        <f>SUM(K61:K65)</f>
        <v>428.75</v>
      </c>
      <c r="N6" s="44">
        <f>SUM(K67:K70)</f>
        <v>17.5</v>
      </c>
      <c r="O6" s="44">
        <f>SUM(K72:K83)</f>
        <v>903.5</v>
      </c>
      <c r="P6" s="29"/>
      <c r="Q6" s="81">
        <f>'Input en resultaat'!F19</f>
        <v>9</v>
      </c>
      <c r="R6" s="81"/>
      <c r="T6" s="13">
        <f>Q6*'Input en resultaat'!F$23</f>
        <v>2160</v>
      </c>
      <c r="U6" s="14">
        <v>1.1499999999999999</v>
      </c>
      <c r="V6" s="112">
        <f t="shared" ref="V6:V25" si="6">U6*V$3*V$2</f>
        <v>0</v>
      </c>
      <c r="W6" s="15">
        <f>1.4*Q6*'Input en resultaat'!F$25</f>
        <v>8.8199999999999985</v>
      </c>
      <c r="X6" s="16">
        <f t="shared" si="2"/>
        <v>493.9199999999999</v>
      </c>
      <c r="Y6" s="17">
        <f>'Input en resultaat'!F$30+'Input en resultaat'!F$31</f>
        <v>474</v>
      </c>
    </row>
    <row r="7" spans="1:48" x14ac:dyDescent="0.3">
      <c r="A7" s="23">
        <v>2025</v>
      </c>
      <c r="B7" s="35">
        <f t="shared" si="3"/>
        <v>4656</v>
      </c>
      <c r="C7" s="36">
        <f t="shared" si="4"/>
        <v>3852.75</v>
      </c>
      <c r="D7" s="36">
        <f t="shared" si="5"/>
        <v>5334.5099999999993</v>
      </c>
      <c r="E7" s="26"/>
      <c r="F7" s="40">
        <f>Mais!F7</f>
        <v>1552</v>
      </c>
      <c r="G7" s="40">
        <f>Mais!G7</f>
        <v>2924</v>
      </c>
      <c r="H7" s="40">
        <f>Mais!H7</f>
        <v>1372</v>
      </c>
      <c r="I7" s="26"/>
      <c r="J7" s="42">
        <f t="shared" si="0"/>
        <v>1284.25</v>
      </c>
      <c r="K7" s="42">
        <f t="shared" si="1"/>
        <v>1778.1699999999998</v>
      </c>
      <c r="L7" s="30"/>
      <c r="M7" s="44">
        <f>SUM(L61:M65)</f>
        <v>428.75</v>
      </c>
      <c r="N7" s="44">
        <f>SUM(L67:M70)</f>
        <v>17.5</v>
      </c>
      <c r="O7" s="44">
        <f>SUM(L72:M83)</f>
        <v>903.5</v>
      </c>
      <c r="P7" s="29"/>
      <c r="Q7" s="81">
        <f>'Input en resultaat'!F20</f>
        <v>9</v>
      </c>
      <c r="R7" s="81"/>
      <c r="T7" s="13">
        <f>Q7*'Input en resultaat'!F$23</f>
        <v>2160</v>
      </c>
      <c r="U7" s="14">
        <v>1.85</v>
      </c>
      <c r="V7" s="112">
        <f t="shared" si="6"/>
        <v>0</v>
      </c>
      <c r="W7" s="15">
        <f>1.4*Q7*'Input en resultaat'!F$25</f>
        <v>8.8199999999999985</v>
      </c>
      <c r="X7" s="16">
        <f t="shared" si="2"/>
        <v>493.9199999999999</v>
      </c>
      <c r="Y7" s="17">
        <f>'Input en resultaat'!F$30+'Input en resultaat'!F$31</f>
        <v>474</v>
      </c>
    </row>
    <row r="8" spans="1:48" x14ac:dyDescent="0.3">
      <c r="A8" s="23">
        <v>2026</v>
      </c>
      <c r="B8" s="35">
        <f t="shared" si="3"/>
        <v>6208</v>
      </c>
      <c r="C8" s="36">
        <f t="shared" si="4"/>
        <v>5137</v>
      </c>
      <c r="D8" s="36">
        <f t="shared" si="5"/>
        <v>7112.6799999999994</v>
      </c>
      <c r="E8" s="26"/>
      <c r="F8" s="40">
        <f>Mais!F8</f>
        <v>1552</v>
      </c>
      <c r="G8" s="40">
        <f>Mais!G8</f>
        <v>2924</v>
      </c>
      <c r="H8" s="40">
        <f>Mais!H8</f>
        <v>1372</v>
      </c>
      <c r="I8" s="26"/>
      <c r="J8" s="42">
        <f t="shared" si="0"/>
        <v>1284.25</v>
      </c>
      <c r="K8" s="42">
        <f t="shared" si="1"/>
        <v>1778.1699999999998</v>
      </c>
      <c r="L8" s="30"/>
      <c r="M8" s="44">
        <f>M7</f>
        <v>428.75</v>
      </c>
      <c r="N8" s="44">
        <f>N7</f>
        <v>17.5</v>
      </c>
      <c r="O8" s="44">
        <f>O7</f>
        <v>903.5</v>
      </c>
      <c r="P8" s="29"/>
      <c r="Q8" s="81">
        <f>'Input en resultaat'!F21</f>
        <v>9</v>
      </c>
      <c r="R8" s="81"/>
      <c r="T8" s="13">
        <f>Q8*'Input en resultaat'!F$23</f>
        <v>2160</v>
      </c>
      <c r="U8" s="14">
        <v>2.35</v>
      </c>
      <c r="V8" s="112">
        <f t="shared" si="6"/>
        <v>0</v>
      </c>
      <c r="W8" s="15">
        <f>1.4*Q8*'Input en resultaat'!F$25</f>
        <v>8.8199999999999985</v>
      </c>
      <c r="X8" s="16">
        <f t="shared" si="2"/>
        <v>493.9199999999999</v>
      </c>
      <c r="Y8" s="17">
        <f>'Input en resultaat'!F$30+'Input en resultaat'!F$31</f>
        <v>474</v>
      </c>
    </row>
    <row r="9" spans="1:48" x14ac:dyDescent="0.3">
      <c r="A9" s="23">
        <v>2027</v>
      </c>
      <c r="B9" s="35">
        <f t="shared" si="3"/>
        <v>7760</v>
      </c>
      <c r="C9" s="36">
        <f t="shared" si="4"/>
        <v>6421.25</v>
      </c>
      <c r="D9" s="36">
        <f t="shared" si="5"/>
        <v>8890.8499999999985</v>
      </c>
      <c r="E9" s="26"/>
      <c r="F9" s="40">
        <f>Mais!F9</f>
        <v>1552</v>
      </c>
      <c r="G9" s="40">
        <f>Mais!G9</f>
        <v>2924</v>
      </c>
      <c r="H9" s="40">
        <f>Mais!H9</f>
        <v>1372</v>
      </c>
      <c r="I9" s="26"/>
      <c r="J9" s="42">
        <f t="shared" si="0"/>
        <v>1284.25</v>
      </c>
      <c r="K9" s="42">
        <f t="shared" si="1"/>
        <v>1778.1699999999998</v>
      </c>
      <c r="L9" s="30"/>
      <c r="M9" s="44">
        <f t="shared" ref="M9:O24" si="7">M8</f>
        <v>428.75</v>
      </c>
      <c r="N9" s="44">
        <f t="shared" si="7"/>
        <v>17.5</v>
      </c>
      <c r="O9" s="44">
        <f t="shared" si="7"/>
        <v>903.5</v>
      </c>
      <c r="P9" s="29"/>
      <c r="Q9" s="81">
        <f t="shared" ref="Q9:Q25" si="8">Q8</f>
        <v>9</v>
      </c>
      <c r="R9" s="81"/>
      <c r="T9" s="13">
        <f>Q9*'Input en resultaat'!F$23</f>
        <v>2160</v>
      </c>
      <c r="U9" s="14">
        <v>2.35</v>
      </c>
      <c r="V9" s="112">
        <f t="shared" si="6"/>
        <v>0</v>
      </c>
      <c r="W9" s="15">
        <f>1.4*Q9*'Input en resultaat'!F$25</f>
        <v>8.8199999999999985</v>
      </c>
      <c r="X9" s="16">
        <f t="shared" si="2"/>
        <v>493.9199999999999</v>
      </c>
      <c r="Y9" s="17">
        <f>'Input en resultaat'!F$30+'Input en resultaat'!F$31</f>
        <v>474</v>
      </c>
    </row>
    <row r="10" spans="1:48" x14ac:dyDescent="0.3">
      <c r="A10" s="23">
        <v>2028</v>
      </c>
      <c r="B10" s="35">
        <f t="shared" si="3"/>
        <v>9312</v>
      </c>
      <c r="C10" s="36">
        <f t="shared" si="4"/>
        <v>7705.5</v>
      </c>
      <c r="D10" s="36">
        <f t="shared" si="5"/>
        <v>10669.019999999999</v>
      </c>
      <c r="E10" s="26"/>
      <c r="F10" s="40">
        <f>Mais!F10</f>
        <v>1552</v>
      </c>
      <c r="G10" s="40">
        <f>Mais!G10</f>
        <v>2924</v>
      </c>
      <c r="H10" s="40">
        <f>Mais!H10</f>
        <v>1372</v>
      </c>
      <c r="I10" s="26"/>
      <c r="J10" s="42">
        <f t="shared" si="0"/>
        <v>1284.25</v>
      </c>
      <c r="K10" s="42">
        <f t="shared" si="1"/>
        <v>1778.1699999999998</v>
      </c>
      <c r="L10" s="30"/>
      <c r="M10" s="44">
        <f t="shared" si="7"/>
        <v>428.75</v>
      </c>
      <c r="N10" s="44">
        <f t="shared" si="7"/>
        <v>17.5</v>
      </c>
      <c r="O10" s="44">
        <f t="shared" si="7"/>
        <v>903.5</v>
      </c>
      <c r="P10" s="29"/>
      <c r="Q10" s="81">
        <f t="shared" si="8"/>
        <v>9</v>
      </c>
      <c r="R10" s="81"/>
      <c r="T10" s="13">
        <f>Q10*'Input en resultaat'!F$23</f>
        <v>2160</v>
      </c>
      <c r="U10" s="14">
        <v>2.35</v>
      </c>
      <c r="V10" s="112">
        <f t="shared" si="6"/>
        <v>0</v>
      </c>
      <c r="W10" s="15">
        <f>1.4*Q10*'Input en resultaat'!F$25</f>
        <v>8.8199999999999985</v>
      </c>
      <c r="X10" s="16">
        <f t="shared" si="2"/>
        <v>493.9199999999999</v>
      </c>
      <c r="Y10" s="17">
        <f>'Input en resultaat'!F$30+'Input en resultaat'!F$31</f>
        <v>474</v>
      </c>
    </row>
    <row r="11" spans="1:48" x14ac:dyDescent="0.3">
      <c r="A11" s="23">
        <v>2029</v>
      </c>
      <c r="B11" s="35">
        <f t="shared" si="3"/>
        <v>10864</v>
      </c>
      <c r="C11" s="36">
        <f t="shared" si="4"/>
        <v>8989.75</v>
      </c>
      <c r="D11" s="36">
        <f t="shared" si="5"/>
        <v>12447.189999999999</v>
      </c>
      <c r="E11" s="26"/>
      <c r="F11" s="40">
        <f>Mais!F11</f>
        <v>1552</v>
      </c>
      <c r="G11" s="40">
        <f>Mais!G11</f>
        <v>2924</v>
      </c>
      <c r="H11" s="40">
        <f>Mais!H11</f>
        <v>1372</v>
      </c>
      <c r="I11" s="26"/>
      <c r="J11" s="42">
        <f t="shared" si="0"/>
        <v>1284.25</v>
      </c>
      <c r="K11" s="42">
        <f t="shared" si="1"/>
        <v>1778.1699999999998</v>
      </c>
      <c r="L11" s="30"/>
      <c r="M11" s="44">
        <f t="shared" si="7"/>
        <v>428.75</v>
      </c>
      <c r="N11" s="44">
        <f t="shared" si="7"/>
        <v>17.5</v>
      </c>
      <c r="O11" s="44">
        <f t="shared" si="7"/>
        <v>903.5</v>
      </c>
      <c r="P11" s="29"/>
      <c r="Q11" s="81">
        <f t="shared" si="8"/>
        <v>9</v>
      </c>
      <c r="R11" s="81"/>
      <c r="T11" s="13">
        <f>Q11*'Input en resultaat'!F$23</f>
        <v>2160</v>
      </c>
      <c r="U11" s="14">
        <v>2.35</v>
      </c>
      <c r="V11" s="112">
        <f t="shared" si="6"/>
        <v>0</v>
      </c>
      <c r="W11" s="15">
        <f>1.4*Q11*'Input en resultaat'!F$25</f>
        <v>8.8199999999999985</v>
      </c>
      <c r="X11" s="16">
        <f t="shared" si="2"/>
        <v>493.9199999999999</v>
      </c>
      <c r="Y11" s="17">
        <f>'Input en resultaat'!F$30+'Input en resultaat'!F$31</f>
        <v>474</v>
      </c>
    </row>
    <row r="12" spans="1:48" x14ac:dyDescent="0.3">
      <c r="A12" s="23">
        <v>2030</v>
      </c>
      <c r="B12" s="35">
        <f t="shared" si="3"/>
        <v>12416</v>
      </c>
      <c r="C12" s="36">
        <f t="shared" si="4"/>
        <v>10274</v>
      </c>
      <c r="D12" s="36">
        <f t="shared" si="5"/>
        <v>14225.359999999999</v>
      </c>
      <c r="E12" s="26"/>
      <c r="F12" s="40">
        <f>Mais!F12</f>
        <v>1552</v>
      </c>
      <c r="G12" s="40">
        <f>Mais!G12</f>
        <v>2924</v>
      </c>
      <c r="H12" s="40">
        <f>Mais!H12</f>
        <v>1372</v>
      </c>
      <c r="I12" s="26"/>
      <c r="J12" s="42">
        <f t="shared" si="0"/>
        <v>1284.25</v>
      </c>
      <c r="K12" s="42">
        <f t="shared" si="1"/>
        <v>1778.1699999999998</v>
      </c>
      <c r="L12" s="30"/>
      <c r="M12" s="44">
        <f t="shared" si="7"/>
        <v>428.75</v>
      </c>
      <c r="N12" s="44">
        <f t="shared" si="7"/>
        <v>17.5</v>
      </c>
      <c r="O12" s="44">
        <f t="shared" si="7"/>
        <v>903.5</v>
      </c>
      <c r="P12" s="29"/>
      <c r="Q12" s="81">
        <f t="shared" si="8"/>
        <v>9</v>
      </c>
      <c r="R12" s="81"/>
      <c r="T12" s="13">
        <f>Q12*'Input en resultaat'!F$23</f>
        <v>2160</v>
      </c>
      <c r="U12" s="14">
        <v>2.35</v>
      </c>
      <c r="V12" s="112">
        <f t="shared" si="6"/>
        <v>0</v>
      </c>
      <c r="W12" s="15">
        <f>1.4*Q12*'Input en resultaat'!F$25</f>
        <v>8.8199999999999985</v>
      </c>
      <c r="X12" s="16">
        <f t="shared" si="2"/>
        <v>493.9199999999999</v>
      </c>
      <c r="Y12" s="17">
        <f>'Input en resultaat'!F$30+'Input en resultaat'!F$31</f>
        <v>474</v>
      </c>
    </row>
    <row r="13" spans="1:48" x14ac:dyDescent="0.3">
      <c r="A13" s="23">
        <v>2031</v>
      </c>
      <c r="B13" s="35">
        <f t="shared" si="3"/>
        <v>13968</v>
      </c>
      <c r="C13" s="36">
        <f t="shared" si="4"/>
        <v>11558.25</v>
      </c>
      <c r="D13" s="36">
        <f t="shared" si="5"/>
        <v>16003.529999999999</v>
      </c>
      <c r="E13" s="26"/>
      <c r="F13" s="40">
        <f>Mais!F13</f>
        <v>1552</v>
      </c>
      <c r="G13" s="40">
        <f>Mais!G13</f>
        <v>2924</v>
      </c>
      <c r="H13" s="40">
        <f>Mais!H13</f>
        <v>1372</v>
      </c>
      <c r="I13" s="26"/>
      <c r="J13" s="42">
        <f t="shared" si="0"/>
        <v>1284.25</v>
      </c>
      <c r="K13" s="42">
        <f t="shared" si="1"/>
        <v>1778.1699999999998</v>
      </c>
      <c r="L13" s="30"/>
      <c r="M13" s="44">
        <f t="shared" si="7"/>
        <v>428.75</v>
      </c>
      <c r="N13" s="44">
        <f t="shared" si="7"/>
        <v>17.5</v>
      </c>
      <c r="O13" s="44">
        <f t="shared" si="7"/>
        <v>903.5</v>
      </c>
      <c r="P13" s="29"/>
      <c r="Q13" s="81">
        <f t="shared" si="8"/>
        <v>9</v>
      </c>
      <c r="R13" s="81"/>
      <c r="T13" s="13">
        <f>Q13*'Input en resultaat'!F$23</f>
        <v>2160</v>
      </c>
      <c r="U13" s="14">
        <v>2.35</v>
      </c>
      <c r="V13" s="112">
        <f t="shared" si="6"/>
        <v>0</v>
      </c>
      <c r="W13" s="15">
        <f>1.4*Q13*'Input en resultaat'!F$25</f>
        <v>8.8199999999999985</v>
      </c>
      <c r="X13" s="16">
        <f t="shared" si="2"/>
        <v>493.9199999999999</v>
      </c>
      <c r="Y13" s="17">
        <f>'Input en resultaat'!F$30+'Input en resultaat'!F$31</f>
        <v>474</v>
      </c>
    </row>
    <row r="14" spans="1:48" x14ac:dyDescent="0.3">
      <c r="A14" s="23">
        <v>2032</v>
      </c>
      <c r="B14" s="35">
        <f t="shared" si="3"/>
        <v>15520</v>
      </c>
      <c r="C14" s="36">
        <f t="shared" si="4"/>
        <v>12842.5</v>
      </c>
      <c r="D14" s="36">
        <f t="shared" si="5"/>
        <v>17781.699999999997</v>
      </c>
      <c r="E14" s="26"/>
      <c r="F14" s="40">
        <f>Mais!F14</f>
        <v>1552</v>
      </c>
      <c r="G14" s="40">
        <f>Mais!G14</f>
        <v>2924</v>
      </c>
      <c r="H14" s="40">
        <f>Mais!H14</f>
        <v>1372</v>
      </c>
      <c r="I14" s="26"/>
      <c r="J14" s="42">
        <f t="shared" si="0"/>
        <v>1284.25</v>
      </c>
      <c r="K14" s="42">
        <f t="shared" si="1"/>
        <v>1778.1699999999998</v>
      </c>
      <c r="L14" s="30"/>
      <c r="M14" s="44">
        <f t="shared" si="7"/>
        <v>428.75</v>
      </c>
      <c r="N14" s="44">
        <f t="shared" si="7"/>
        <v>17.5</v>
      </c>
      <c r="O14" s="44">
        <f t="shared" si="7"/>
        <v>903.5</v>
      </c>
      <c r="P14" s="29"/>
      <c r="Q14" s="81">
        <f t="shared" si="8"/>
        <v>9</v>
      </c>
      <c r="R14" s="81"/>
      <c r="T14" s="13">
        <f>Q14*'Input en resultaat'!F$23</f>
        <v>2160</v>
      </c>
      <c r="U14" s="14">
        <v>2.35</v>
      </c>
      <c r="V14" s="112">
        <f t="shared" si="6"/>
        <v>0</v>
      </c>
      <c r="W14" s="15">
        <f>1.4*Q14*'Input en resultaat'!F$25</f>
        <v>8.8199999999999985</v>
      </c>
      <c r="X14" s="16">
        <f t="shared" si="2"/>
        <v>493.9199999999999</v>
      </c>
      <c r="Y14" s="17">
        <f>'Input en resultaat'!F$30+'Input en resultaat'!F$31</f>
        <v>474</v>
      </c>
    </row>
    <row r="15" spans="1:48" x14ac:dyDescent="0.3">
      <c r="A15" s="23">
        <v>2033</v>
      </c>
      <c r="B15" s="35">
        <f t="shared" si="3"/>
        <v>17072</v>
      </c>
      <c r="C15" s="36">
        <f t="shared" si="4"/>
        <v>14126.75</v>
      </c>
      <c r="D15" s="36">
        <f t="shared" si="5"/>
        <v>19559.869999999995</v>
      </c>
      <c r="E15" s="26"/>
      <c r="F15" s="40">
        <f>Mais!F15</f>
        <v>1552</v>
      </c>
      <c r="G15" s="40">
        <f>Mais!G15</f>
        <v>2924</v>
      </c>
      <c r="H15" s="40">
        <f>Mais!H15</f>
        <v>1372</v>
      </c>
      <c r="I15" s="26"/>
      <c r="J15" s="42">
        <f t="shared" si="0"/>
        <v>1284.25</v>
      </c>
      <c r="K15" s="42">
        <f t="shared" si="1"/>
        <v>1778.1699999999998</v>
      </c>
      <c r="L15" s="30"/>
      <c r="M15" s="44">
        <f t="shared" si="7"/>
        <v>428.75</v>
      </c>
      <c r="N15" s="44">
        <f t="shared" si="7"/>
        <v>17.5</v>
      </c>
      <c r="O15" s="44">
        <f t="shared" si="7"/>
        <v>903.5</v>
      </c>
      <c r="P15" s="29"/>
      <c r="Q15" s="81">
        <f t="shared" si="8"/>
        <v>9</v>
      </c>
      <c r="R15" s="81"/>
      <c r="T15" s="13">
        <f>Q15*'Input en resultaat'!F$23</f>
        <v>2160</v>
      </c>
      <c r="U15" s="14">
        <v>2.35</v>
      </c>
      <c r="V15" s="112">
        <f t="shared" si="6"/>
        <v>0</v>
      </c>
      <c r="W15" s="15">
        <f>1.4*Q15*'Input en resultaat'!F$25</f>
        <v>8.8199999999999985</v>
      </c>
      <c r="X15" s="16">
        <f t="shared" si="2"/>
        <v>493.9199999999999</v>
      </c>
      <c r="Y15" s="17">
        <f>'Input en resultaat'!F$30+'Input en resultaat'!F$31</f>
        <v>474</v>
      </c>
    </row>
    <row r="16" spans="1:48" x14ac:dyDescent="0.3">
      <c r="A16" s="23">
        <v>2034</v>
      </c>
      <c r="B16" s="35">
        <f t="shared" si="3"/>
        <v>18624</v>
      </c>
      <c r="C16" s="36">
        <f t="shared" si="4"/>
        <v>15411</v>
      </c>
      <c r="D16" s="36">
        <f t="shared" si="5"/>
        <v>21338.039999999994</v>
      </c>
      <c r="E16" s="26"/>
      <c r="F16" s="40">
        <f>Mais!F16</f>
        <v>1552</v>
      </c>
      <c r="G16" s="40">
        <f>Mais!G16</f>
        <v>2924</v>
      </c>
      <c r="H16" s="40">
        <f>Mais!H16</f>
        <v>1372</v>
      </c>
      <c r="I16" s="26"/>
      <c r="J16" s="42">
        <f t="shared" si="0"/>
        <v>1284.25</v>
      </c>
      <c r="K16" s="42">
        <f t="shared" si="1"/>
        <v>1778.1699999999998</v>
      </c>
      <c r="L16" s="30"/>
      <c r="M16" s="44">
        <f t="shared" si="7"/>
        <v>428.75</v>
      </c>
      <c r="N16" s="44">
        <f t="shared" si="7"/>
        <v>17.5</v>
      </c>
      <c r="O16" s="44">
        <f t="shared" si="7"/>
        <v>903.5</v>
      </c>
      <c r="P16" s="29"/>
      <c r="Q16" s="81">
        <f t="shared" si="8"/>
        <v>9</v>
      </c>
      <c r="R16" s="81"/>
      <c r="T16" s="13">
        <f>Q16*'Input en resultaat'!F$23</f>
        <v>2160</v>
      </c>
      <c r="U16" s="14">
        <v>2.35</v>
      </c>
      <c r="V16" s="112">
        <f t="shared" si="6"/>
        <v>0</v>
      </c>
      <c r="W16" s="15">
        <f>1.4*Q16*'Input en resultaat'!F$25</f>
        <v>8.8199999999999985</v>
      </c>
      <c r="X16" s="16">
        <f t="shared" si="2"/>
        <v>493.9199999999999</v>
      </c>
      <c r="Y16" s="17">
        <f>'Input en resultaat'!F$30+'Input en resultaat'!F$31</f>
        <v>474</v>
      </c>
    </row>
    <row r="17" spans="1:25" x14ac:dyDescent="0.3">
      <c r="A17" s="23">
        <v>2035</v>
      </c>
      <c r="B17" s="35">
        <f t="shared" si="3"/>
        <v>20176</v>
      </c>
      <c r="C17" s="36">
        <f t="shared" si="4"/>
        <v>16695.25</v>
      </c>
      <c r="D17" s="36">
        <f t="shared" si="5"/>
        <v>23116.209999999992</v>
      </c>
      <c r="E17" s="26"/>
      <c r="F17" s="40">
        <f>Mais!F17</f>
        <v>1552</v>
      </c>
      <c r="G17" s="40">
        <f>Mais!G17</f>
        <v>2924</v>
      </c>
      <c r="H17" s="40">
        <f>Mais!H17</f>
        <v>1372</v>
      </c>
      <c r="I17" s="26"/>
      <c r="J17" s="42">
        <f t="shared" si="0"/>
        <v>1284.25</v>
      </c>
      <c r="K17" s="42">
        <f t="shared" si="1"/>
        <v>1778.1699999999998</v>
      </c>
      <c r="L17" s="30"/>
      <c r="M17" s="44">
        <f t="shared" si="7"/>
        <v>428.75</v>
      </c>
      <c r="N17" s="44">
        <f t="shared" si="7"/>
        <v>17.5</v>
      </c>
      <c r="O17" s="44">
        <f t="shared" si="7"/>
        <v>903.5</v>
      </c>
      <c r="P17" s="29"/>
      <c r="Q17" s="81">
        <f t="shared" si="8"/>
        <v>9</v>
      </c>
      <c r="R17" s="81"/>
      <c r="T17" s="13">
        <f>Q17*'Input en resultaat'!F$23</f>
        <v>2160</v>
      </c>
      <c r="U17" s="14">
        <v>2.35</v>
      </c>
      <c r="V17" s="112">
        <f t="shared" si="6"/>
        <v>0</v>
      </c>
      <c r="W17" s="15">
        <f>1.4*Q17*'Input en resultaat'!F$25</f>
        <v>8.8199999999999985</v>
      </c>
      <c r="X17" s="16">
        <f t="shared" si="2"/>
        <v>493.9199999999999</v>
      </c>
      <c r="Y17" s="17">
        <f>'Input en resultaat'!F$30+'Input en resultaat'!F$31</f>
        <v>474</v>
      </c>
    </row>
    <row r="18" spans="1:25" x14ac:dyDescent="0.3">
      <c r="A18" s="23">
        <v>2036</v>
      </c>
      <c r="B18" s="35">
        <f t="shared" si="3"/>
        <v>21728</v>
      </c>
      <c r="C18" s="36">
        <f t="shared" si="4"/>
        <v>17979.5</v>
      </c>
      <c r="D18" s="36">
        <f t="shared" si="5"/>
        <v>24894.37999999999</v>
      </c>
      <c r="E18" s="26"/>
      <c r="F18" s="40">
        <f>Mais!F18</f>
        <v>1552</v>
      </c>
      <c r="G18" s="40">
        <f>Mais!G18</f>
        <v>2924</v>
      </c>
      <c r="H18" s="40">
        <f>Mais!H18</f>
        <v>1372</v>
      </c>
      <c r="I18" s="26"/>
      <c r="J18" s="42">
        <f t="shared" si="0"/>
        <v>1284.25</v>
      </c>
      <c r="K18" s="42">
        <f t="shared" si="1"/>
        <v>1778.1699999999998</v>
      </c>
      <c r="L18" s="30"/>
      <c r="M18" s="44">
        <f t="shared" si="7"/>
        <v>428.75</v>
      </c>
      <c r="N18" s="44">
        <f t="shared" si="7"/>
        <v>17.5</v>
      </c>
      <c r="O18" s="44">
        <f t="shared" si="7"/>
        <v>903.5</v>
      </c>
      <c r="P18" s="29"/>
      <c r="Q18" s="81">
        <f t="shared" si="8"/>
        <v>9</v>
      </c>
      <c r="R18" s="81"/>
      <c r="T18" s="13">
        <f>Q18*'Input en resultaat'!F$23</f>
        <v>2160</v>
      </c>
      <c r="U18" s="14">
        <v>2.35</v>
      </c>
      <c r="V18" s="112">
        <f t="shared" si="6"/>
        <v>0</v>
      </c>
      <c r="W18" s="15">
        <f>1.4*Q18*'Input en resultaat'!F$25</f>
        <v>8.8199999999999985</v>
      </c>
      <c r="X18" s="16">
        <f t="shared" si="2"/>
        <v>493.9199999999999</v>
      </c>
      <c r="Y18" s="17">
        <f>'Input en resultaat'!F$30+'Input en resultaat'!F$31</f>
        <v>474</v>
      </c>
    </row>
    <row r="19" spans="1:25" x14ac:dyDescent="0.3">
      <c r="A19" s="23">
        <v>2037</v>
      </c>
      <c r="B19" s="35">
        <f t="shared" si="3"/>
        <v>23280</v>
      </c>
      <c r="C19" s="36">
        <f t="shared" si="4"/>
        <v>19263.75</v>
      </c>
      <c r="D19" s="36">
        <f t="shared" si="5"/>
        <v>26672.549999999988</v>
      </c>
      <c r="E19" s="26"/>
      <c r="F19" s="40">
        <f>Mais!F19</f>
        <v>1552</v>
      </c>
      <c r="G19" s="40">
        <f>Mais!G19</f>
        <v>2924</v>
      </c>
      <c r="H19" s="40">
        <f>Mais!H19</f>
        <v>1372</v>
      </c>
      <c r="I19" s="26"/>
      <c r="J19" s="42">
        <f t="shared" si="0"/>
        <v>1284.25</v>
      </c>
      <c r="K19" s="42">
        <f t="shared" si="1"/>
        <v>1778.1699999999998</v>
      </c>
      <c r="L19" s="30"/>
      <c r="M19" s="44">
        <f t="shared" si="7"/>
        <v>428.75</v>
      </c>
      <c r="N19" s="44">
        <f t="shared" si="7"/>
        <v>17.5</v>
      </c>
      <c r="O19" s="44">
        <f t="shared" si="7"/>
        <v>903.5</v>
      </c>
      <c r="P19" s="29"/>
      <c r="Q19" s="81">
        <f t="shared" si="8"/>
        <v>9</v>
      </c>
      <c r="R19" s="81"/>
      <c r="T19" s="13">
        <f>Q19*'Input en resultaat'!F$23</f>
        <v>2160</v>
      </c>
      <c r="U19" s="14">
        <v>2.35</v>
      </c>
      <c r="V19" s="112">
        <f t="shared" si="6"/>
        <v>0</v>
      </c>
      <c r="W19" s="15">
        <f>1.4*Q19*'Input en resultaat'!F$25</f>
        <v>8.8199999999999985</v>
      </c>
      <c r="X19" s="16">
        <f t="shared" si="2"/>
        <v>493.9199999999999</v>
      </c>
      <c r="Y19" s="17">
        <f>'Input en resultaat'!F$30+'Input en resultaat'!F$31</f>
        <v>474</v>
      </c>
    </row>
    <row r="20" spans="1:25" x14ac:dyDescent="0.3">
      <c r="A20" s="23">
        <v>2038</v>
      </c>
      <c r="B20" s="35">
        <f t="shared" si="3"/>
        <v>24832</v>
      </c>
      <c r="C20" s="36">
        <f t="shared" si="4"/>
        <v>20548</v>
      </c>
      <c r="D20" s="36">
        <f t="shared" si="5"/>
        <v>28450.719999999987</v>
      </c>
      <c r="E20" s="26"/>
      <c r="F20" s="40">
        <f>Mais!F20</f>
        <v>1552</v>
      </c>
      <c r="G20" s="40">
        <f>Mais!G20</f>
        <v>2924</v>
      </c>
      <c r="H20" s="40">
        <f>Mais!H20</f>
        <v>1372</v>
      </c>
      <c r="I20" s="26"/>
      <c r="J20" s="42">
        <f t="shared" si="0"/>
        <v>1284.25</v>
      </c>
      <c r="K20" s="42">
        <f t="shared" si="1"/>
        <v>1778.1699999999998</v>
      </c>
      <c r="L20" s="30"/>
      <c r="M20" s="44">
        <f t="shared" si="7"/>
        <v>428.75</v>
      </c>
      <c r="N20" s="44">
        <f t="shared" si="7"/>
        <v>17.5</v>
      </c>
      <c r="O20" s="44">
        <f t="shared" si="7"/>
        <v>903.5</v>
      </c>
      <c r="P20" s="29"/>
      <c r="Q20" s="81">
        <f t="shared" si="8"/>
        <v>9</v>
      </c>
      <c r="R20" s="81"/>
      <c r="T20" s="13">
        <f>Q20*'Input en resultaat'!F$23</f>
        <v>2160</v>
      </c>
      <c r="U20" s="14">
        <v>2.35</v>
      </c>
      <c r="V20" s="112">
        <f t="shared" si="6"/>
        <v>0</v>
      </c>
      <c r="W20" s="15">
        <f>1.4*Q20*'Input en resultaat'!F$25</f>
        <v>8.8199999999999985</v>
      </c>
      <c r="X20" s="16">
        <f t="shared" si="2"/>
        <v>493.9199999999999</v>
      </c>
      <c r="Y20" s="17">
        <f>'Input en resultaat'!F$30+'Input en resultaat'!F$31</f>
        <v>474</v>
      </c>
    </row>
    <row r="21" spans="1:25" x14ac:dyDescent="0.3">
      <c r="A21" s="23">
        <v>2039</v>
      </c>
      <c r="B21" s="35">
        <f t="shared" si="3"/>
        <v>26384</v>
      </c>
      <c r="C21" s="36">
        <f t="shared" si="4"/>
        <v>21832.25</v>
      </c>
      <c r="D21" s="36">
        <f t="shared" si="5"/>
        <v>30228.889999999985</v>
      </c>
      <c r="E21" s="26"/>
      <c r="F21" s="40">
        <f>Mais!F21</f>
        <v>1552</v>
      </c>
      <c r="G21" s="40">
        <f>Mais!G21</f>
        <v>2924</v>
      </c>
      <c r="H21" s="40">
        <f>Mais!H21</f>
        <v>1372</v>
      </c>
      <c r="I21" s="26"/>
      <c r="J21" s="42">
        <f t="shared" si="0"/>
        <v>1284.25</v>
      </c>
      <c r="K21" s="42">
        <f t="shared" si="1"/>
        <v>1778.1699999999998</v>
      </c>
      <c r="L21" s="30"/>
      <c r="M21" s="44">
        <f t="shared" si="7"/>
        <v>428.75</v>
      </c>
      <c r="N21" s="44">
        <f t="shared" si="7"/>
        <v>17.5</v>
      </c>
      <c r="O21" s="44">
        <f t="shared" si="7"/>
        <v>903.5</v>
      </c>
      <c r="P21" s="29"/>
      <c r="Q21" s="81">
        <f t="shared" si="8"/>
        <v>9</v>
      </c>
      <c r="R21" s="81"/>
      <c r="T21" s="13">
        <f>Q21*'Input en resultaat'!F$23</f>
        <v>2160</v>
      </c>
      <c r="U21" s="14">
        <v>2.35</v>
      </c>
      <c r="V21" s="112">
        <f t="shared" si="6"/>
        <v>0</v>
      </c>
      <c r="W21" s="15">
        <f>1.4*Q21*'Input en resultaat'!F$25</f>
        <v>8.8199999999999985</v>
      </c>
      <c r="X21" s="16">
        <f t="shared" si="2"/>
        <v>493.9199999999999</v>
      </c>
      <c r="Y21" s="17">
        <f>'Input en resultaat'!F$30+'Input en resultaat'!F$31</f>
        <v>474</v>
      </c>
    </row>
    <row r="22" spans="1:25" x14ac:dyDescent="0.3">
      <c r="A22" s="23">
        <v>2040</v>
      </c>
      <c r="B22" s="35">
        <f t="shared" si="3"/>
        <v>27936</v>
      </c>
      <c r="C22" s="36">
        <f t="shared" si="4"/>
        <v>23116.5</v>
      </c>
      <c r="D22" s="36">
        <f t="shared" si="5"/>
        <v>32007.059999999983</v>
      </c>
      <c r="E22" s="26"/>
      <c r="F22" s="40">
        <f>Mais!F22</f>
        <v>1552</v>
      </c>
      <c r="G22" s="40">
        <f>Mais!G22</f>
        <v>2924</v>
      </c>
      <c r="H22" s="40">
        <f>Mais!H22</f>
        <v>1372</v>
      </c>
      <c r="I22" s="26"/>
      <c r="J22" s="42">
        <f t="shared" si="0"/>
        <v>1284.25</v>
      </c>
      <c r="K22" s="42">
        <f t="shared" si="1"/>
        <v>1778.1699999999998</v>
      </c>
      <c r="L22" s="30"/>
      <c r="M22" s="44">
        <f t="shared" si="7"/>
        <v>428.75</v>
      </c>
      <c r="N22" s="44">
        <f t="shared" si="7"/>
        <v>17.5</v>
      </c>
      <c r="O22" s="44">
        <f t="shared" si="7"/>
        <v>903.5</v>
      </c>
      <c r="P22" s="29"/>
      <c r="Q22" s="81">
        <f t="shared" si="8"/>
        <v>9</v>
      </c>
      <c r="R22" s="81"/>
      <c r="T22" s="13">
        <f>Q22*'Input en resultaat'!F$23</f>
        <v>2160</v>
      </c>
      <c r="U22" s="14">
        <v>2.35</v>
      </c>
      <c r="V22" s="112">
        <f t="shared" si="6"/>
        <v>0</v>
      </c>
      <c r="W22" s="15">
        <f>1.4*Q22*'Input en resultaat'!F$25</f>
        <v>8.8199999999999985</v>
      </c>
      <c r="X22" s="16">
        <f t="shared" si="2"/>
        <v>493.9199999999999</v>
      </c>
      <c r="Y22" s="17">
        <f>'Input en resultaat'!F$30+'Input en resultaat'!F$31</f>
        <v>474</v>
      </c>
    </row>
    <row r="23" spans="1:25" x14ac:dyDescent="0.3">
      <c r="A23" s="23">
        <v>2041</v>
      </c>
      <c r="B23" s="35">
        <f t="shared" si="3"/>
        <v>29488</v>
      </c>
      <c r="C23" s="36">
        <f t="shared" si="4"/>
        <v>24400.75</v>
      </c>
      <c r="D23" s="36">
        <f t="shared" si="5"/>
        <v>33785.229999999981</v>
      </c>
      <c r="E23" s="26"/>
      <c r="F23" s="40">
        <f>Mais!F23</f>
        <v>1552</v>
      </c>
      <c r="G23" s="40">
        <f>Mais!G23</f>
        <v>2924</v>
      </c>
      <c r="H23" s="40">
        <f>Mais!H23</f>
        <v>1372</v>
      </c>
      <c r="I23" s="26"/>
      <c r="J23" s="42">
        <f t="shared" si="0"/>
        <v>1284.25</v>
      </c>
      <c r="K23" s="42">
        <f t="shared" si="1"/>
        <v>1778.1699999999998</v>
      </c>
      <c r="L23" s="30"/>
      <c r="M23" s="44">
        <f t="shared" si="7"/>
        <v>428.75</v>
      </c>
      <c r="N23" s="44">
        <f t="shared" si="7"/>
        <v>17.5</v>
      </c>
      <c r="O23" s="44">
        <f t="shared" si="7"/>
        <v>903.5</v>
      </c>
      <c r="P23" s="29"/>
      <c r="Q23" s="81">
        <f t="shared" si="8"/>
        <v>9</v>
      </c>
      <c r="R23" s="81"/>
      <c r="T23" s="13">
        <f>Q23*'Input en resultaat'!F$23</f>
        <v>2160</v>
      </c>
      <c r="U23" s="14">
        <v>2.35</v>
      </c>
      <c r="V23" s="112">
        <f t="shared" si="6"/>
        <v>0</v>
      </c>
      <c r="W23" s="15">
        <f>1.4*Q23*'Input en resultaat'!F$25</f>
        <v>8.8199999999999985</v>
      </c>
      <c r="X23" s="16">
        <f t="shared" si="2"/>
        <v>493.9199999999999</v>
      </c>
      <c r="Y23" s="17">
        <f>'Input en resultaat'!F$30+'Input en resultaat'!F$31</f>
        <v>474</v>
      </c>
    </row>
    <row r="24" spans="1:25" x14ac:dyDescent="0.3">
      <c r="A24" s="23">
        <v>2042</v>
      </c>
      <c r="B24" s="35">
        <f t="shared" si="3"/>
        <v>31040</v>
      </c>
      <c r="C24" s="36">
        <f t="shared" si="4"/>
        <v>25685</v>
      </c>
      <c r="D24" s="36">
        <f t="shared" si="5"/>
        <v>35563.39999999998</v>
      </c>
      <c r="E24" s="26"/>
      <c r="F24" s="40">
        <f>Mais!F24</f>
        <v>1552</v>
      </c>
      <c r="G24" s="40">
        <f>Mais!G24</f>
        <v>2924</v>
      </c>
      <c r="H24" s="40">
        <f>Mais!H24</f>
        <v>1372</v>
      </c>
      <c r="I24" s="26"/>
      <c r="J24" s="42">
        <f t="shared" si="0"/>
        <v>1284.25</v>
      </c>
      <c r="K24" s="42">
        <f t="shared" si="1"/>
        <v>1778.1699999999998</v>
      </c>
      <c r="L24" s="30"/>
      <c r="M24" s="44">
        <f t="shared" si="7"/>
        <v>428.75</v>
      </c>
      <c r="N24" s="44">
        <f t="shared" si="7"/>
        <v>17.5</v>
      </c>
      <c r="O24" s="44">
        <f t="shared" si="7"/>
        <v>903.5</v>
      </c>
      <c r="P24" s="29"/>
      <c r="Q24" s="81">
        <f t="shared" si="8"/>
        <v>9</v>
      </c>
      <c r="R24" s="81"/>
      <c r="T24" s="13">
        <f>Q24*'Input en resultaat'!F$23</f>
        <v>2160</v>
      </c>
      <c r="U24" s="14">
        <v>2.35</v>
      </c>
      <c r="V24" s="112">
        <f t="shared" si="6"/>
        <v>0</v>
      </c>
      <c r="W24" s="15">
        <f>1.4*Q24*'Input en resultaat'!F$25</f>
        <v>8.8199999999999985</v>
      </c>
      <c r="X24" s="16">
        <f t="shared" si="2"/>
        <v>493.9199999999999</v>
      </c>
      <c r="Y24" s="17">
        <f>'Input en resultaat'!F$30+'Input en resultaat'!F$31</f>
        <v>474</v>
      </c>
    </row>
    <row r="25" spans="1:25" ht="16.2" thickBot="1" x14ac:dyDescent="0.35">
      <c r="A25" s="23">
        <v>2043</v>
      </c>
      <c r="B25" s="35">
        <f t="shared" si="3"/>
        <v>32592</v>
      </c>
      <c r="C25" s="36">
        <f t="shared" si="4"/>
        <v>26969.25</v>
      </c>
      <c r="D25" s="36">
        <f t="shared" si="5"/>
        <v>37341.569999999978</v>
      </c>
      <c r="E25" s="26"/>
      <c r="F25" s="40">
        <f>Mais!F25</f>
        <v>1552</v>
      </c>
      <c r="G25" s="40">
        <f>Mais!G25</f>
        <v>2924</v>
      </c>
      <c r="H25" s="40">
        <f>Mais!H25</f>
        <v>1372</v>
      </c>
      <c r="I25" s="26"/>
      <c r="J25" s="42">
        <f t="shared" si="0"/>
        <v>1284.25</v>
      </c>
      <c r="K25" s="42">
        <f t="shared" si="1"/>
        <v>1778.1699999999998</v>
      </c>
      <c r="L25" s="30"/>
      <c r="M25" s="44">
        <f t="shared" ref="M25:O25" si="9">M24</f>
        <v>428.75</v>
      </c>
      <c r="N25" s="44">
        <f t="shared" si="9"/>
        <v>17.5</v>
      </c>
      <c r="O25" s="44">
        <f t="shared" si="9"/>
        <v>903.5</v>
      </c>
      <c r="P25" s="29"/>
      <c r="Q25" s="81">
        <f t="shared" si="8"/>
        <v>9</v>
      </c>
      <c r="R25" s="81"/>
      <c r="T25" s="13">
        <f>Q25*'Input en resultaat'!F$23</f>
        <v>2160</v>
      </c>
      <c r="U25" s="19">
        <v>2.35</v>
      </c>
      <c r="V25" s="113">
        <f t="shared" si="6"/>
        <v>0</v>
      </c>
      <c r="W25" s="20">
        <f>1.4*Q25*'Input en resultaat'!F$25</f>
        <v>8.8199999999999985</v>
      </c>
      <c r="X25" s="21">
        <f t="shared" si="2"/>
        <v>493.9199999999999</v>
      </c>
      <c r="Y25" s="22">
        <f>'Input en resultaat'!F$30+'Input en resultaat'!F$31</f>
        <v>474</v>
      </c>
    </row>
    <row r="26" spans="1:25" s="23" customFormat="1" x14ac:dyDescent="0.3">
      <c r="B26" s="30"/>
      <c r="D26" s="37" t="s">
        <v>78</v>
      </c>
      <c r="E26" s="31"/>
      <c r="F26" s="38">
        <f>AVERAGE(F5:F25)</f>
        <v>1552</v>
      </c>
      <c r="G26" s="31"/>
      <c r="H26" s="31"/>
      <c r="I26" s="31"/>
      <c r="J26" s="38">
        <f>AVERAGE(J5:J25)</f>
        <v>1284.25</v>
      </c>
      <c r="K26" s="38">
        <f>AVERAGE(K5:K25)</f>
        <v>1778.1699999999989</v>
      </c>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pans="2:15" s="23" customFormat="1" x14ac:dyDescent="0.3"/>
    <row r="50" spans="2:15" s="23" customFormat="1" x14ac:dyDescent="0.3"/>
    <row r="51" spans="2:15" s="23" customFormat="1" x14ac:dyDescent="0.3"/>
    <row r="52" spans="2:15" s="23" customFormat="1" x14ac:dyDescent="0.3"/>
    <row r="53" spans="2:15" s="23" customFormat="1" x14ac:dyDescent="0.3"/>
    <row r="54" spans="2:15" s="23" customFormat="1" x14ac:dyDescent="0.3"/>
    <row r="55" spans="2:15" s="23" customFormat="1" x14ac:dyDescent="0.3"/>
    <row r="56" spans="2:15" s="23" customFormat="1" x14ac:dyDescent="0.3"/>
    <row r="57" spans="2:15" s="23" customFormat="1" x14ac:dyDescent="0.3"/>
    <row r="58" spans="2:15" s="23" customFormat="1" x14ac:dyDescent="0.3"/>
    <row r="59" spans="2:15" s="23" customFormat="1" x14ac:dyDescent="0.3">
      <c r="B59" s="50" t="s">
        <v>82</v>
      </c>
      <c r="C59" s="51"/>
      <c r="D59" s="51"/>
      <c r="E59" s="51"/>
      <c r="F59" s="51"/>
      <c r="G59" s="51"/>
      <c r="H59" s="52"/>
    </row>
    <row r="60" spans="2:15" s="23" customFormat="1" x14ac:dyDescent="0.3">
      <c r="B60" s="314" t="s">
        <v>83</v>
      </c>
      <c r="C60" s="315"/>
      <c r="D60" s="316" t="s">
        <v>84</v>
      </c>
      <c r="E60" s="317"/>
      <c r="F60" s="49" t="s">
        <v>85</v>
      </c>
      <c r="G60" s="49" t="s">
        <v>86</v>
      </c>
      <c r="H60" s="49" t="s">
        <v>87</v>
      </c>
      <c r="J60" s="68" t="s">
        <v>88</v>
      </c>
      <c r="K60" s="68" t="s">
        <v>89</v>
      </c>
      <c r="L60" s="307" t="s">
        <v>90</v>
      </c>
      <c r="M60" s="308"/>
      <c r="N60" s="24"/>
      <c r="O60" s="48"/>
    </row>
    <row r="61" spans="2:15" s="23" customFormat="1" x14ac:dyDescent="0.3">
      <c r="B61" s="300" t="s">
        <v>91</v>
      </c>
      <c r="C61" s="301"/>
      <c r="D61" s="302">
        <v>1</v>
      </c>
      <c r="E61" s="303"/>
      <c r="F61" s="45" t="s">
        <v>92</v>
      </c>
      <c r="G61" s="47">
        <v>95</v>
      </c>
      <c r="H61" s="47">
        <f>D61*G61</f>
        <v>95</v>
      </c>
      <c r="J61" s="47">
        <f>H61</f>
        <v>95</v>
      </c>
      <c r="K61" s="47">
        <f>J61</f>
        <v>95</v>
      </c>
      <c r="L61" s="306">
        <f>K61</f>
        <v>95</v>
      </c>
      <c r="M61" s="303"/>
      <c r="N61" s="24"/>
      <c r="O61" s="48"/>
    </row>
    <row r="62" spans="2:15" s="23" customFormat="1" x14ac:dyDescent="0.3">
      <c r="B62" s="300" t="s">
        <v>93</v>
      </c>
      <c r="C62" s="301"/>
      <c r="D62" s="302">
        <v>0</v>
      </c>
      <c r="E62" s="303"/>
      <c r="F62" s="45" t="s">
        <v>94</v>
      </c>
      <c r="G62" s="47">
        <v>185</v>
      </c>
      <c r="H62" s="47">
        <f>D62*G62</f>
        <v>0</v>
      </c>
      <c r="J62" s="47">
        <f>H62</f>
        <v>0</v>
      </c>
      <c r="K62" s="47">
        <f>J62</f>
        <v>0</v>
      </c>
      <c r="L62" s="306">
        <f>K62</f>
        <v>0</v>
      </c>
      <c r="M62" s="303"/>
      <c r="N62" s="24"/>
      <c r="O62" s="48"/>
    </row>
    <row r="63" spans="2:15" s="23" customFormat="1" x14ac:dyDescent="0.3">
      <c r="B63" s="314" t="s">
        <v>95</v>
      </c>
      <c r="C63" s="315"/>
      <c r="D63" s="316"/>
      <c r="E63" s="317"/>
      <c r="F63" s="49"/>
      <c r="G63" s="49"/>
      <c r="H63" s="49"/>
      <c r="J63" s="33"/>
      <c r="K63" s="33"/>
      <c r="L63" s="302"/>
      <c r="M63" s="303"/>
    </row>
    <row r="64" spans="2:15" s="23" customFormat="1" x14ac:dyDescent="0.3">
      <c r="B64" s="300" t="s">
        <v>127</v>
      </c>
      <c r="C64" s="301"/>
      <c r="D64" s="302">
        <v>1</v>
      </c>
      <c r="E64" s="303"/>
      <c r="F64" s="45" t="s">
        <v>94</v>
      </c>
      <c r="G64" s="47">
        <v>150</v>
      </c>
      <c r="H64" s="47">
        <f>D64*G64</f>
        <v>150</v>
      </c>
      <c r="J64" s="47">
        <f>H64</f>
        <v>150</v>
      </c>
      <c r="K64" s="47">
        <f>J64</f>
        <v>150</v>
      </c>
      <c r="L64" s="306">
        <f>K64</f>
        <v>150</v>
      </c>
      <c r="M64" s="303"/>
    </row>
    <row r="65" spans="2:13" s="23" customFormat="1" x14ac:dyDescent="0.3">
      <c r="B65" s="300" t="s">
        <v>97</v>
      </c>
      <c r="C65" s="301"/>
      <c r="D65" s="302">
        <v>35</v>
      </c>
      <c r="E65" s="303"/>
      <c r="F65" s="45" t="s">
        <v>98</v>
      </c>
      <c r="G65" s="47">
        <v>5.25</v>
      </c>
      <c r="H65" s="47">
        <f>D65*G65</f>
        <v>183.75</v>
      </c>
      <c r="J65" s="47">
        <f>H65</f>
        <v>183.75</v>
      </c>
      <c r="K65" s="47">
        <f>J65</f>
        <v>183.75</v>
      </c>
      <c r="L65" s="306">
        <f>K65</f>
        <v>183.75</v>
      </c>
      <c r="M65" s="303"/>
    </row>
    <row r="66" spans="2:13" s="23" customFormat="1" x14ac:dyDescent="0.3">
      <c r="B66" s="314" t="s">
        <v>99</v>
      </c>
      <c r="C66" s="315"/>
      <c r="D66" s="55"/>
      <c r="E66" s="55"/>
      <c r="F66" s="55"/>
      <c r="G66" s="56"/>
      <c r="H66" s="57"/>
      <c r="J66" s="33"/>
      <c r="K66" s="33"/>
      <c r="L66" s="302"/>
      <c r="M66" s="303"/>
    </row>
    <row r="67" spans="2:13" s="23" customFormat="1" x14ac:dyDescent="0.3">
      <c r="B67" s="300" t="s">
        <v>100</v>
      </c>
      <c r="C67" s="301"/>
      <c r="D67" s="302"/>
      <c r="E67" s="303"/>
      <c r="F67" s="45"/>
      <c r="G67" s="47"/>
      <c r="H67" s="47"/>
      <c r="J67" s="47">
        <f>H67</f>
        <v>0</v>
      </c>
      <c r="K67" s="47">
        <f t="shared" ref="K67:L70" si="10">J67</f>
        <v>0</v>
      </c>
      <c r="L67" s="306">
        <f t="shared" si="10"/>
        <v>0</v>
      </c>
      <c r="M67" s="303"/>
    </row>
    <row r="68" spans="2:13" s="23" customFormat="1" x14ac:dyDescent="0.3">
      <c r="B68" s="300" t="s">
        <v>101</v>
      </c>
      <c r="C68" s="301"/>
      <c r="D68" s="302"/>
      <c r="E68" s="303"/>
      <c r="F68" s="45"/>
      <c r="G68" s="47"/>
      <c r="H68" s="47"/>
      <c r="J68" s="47">
        <f t="shared" ref="J68:J70" si="11">H68</f>
        <v>0</v>
      </c>
      <c r="K68" s="47">
        <f t="shared" si="10"/>
        <v>0</v>
      </c>
      <c r="L68" s="306">
        <f t="shared" si="10"/>
        <v>0</v>
      </c>
      <c r="M68" s="303"/>
    </row>
    <row r="69" spans="2:13" s="23" customFormat="1" x14ac:dyDescent="0.3">
      <c r="B69" s="300" t="s">
        <v>102</v>
      </c>
      <c r="C69" s="301"/>
      <c r="D69" s="302">
        <v>0.5</v>
      </c>
      <c r="E69" s="303"/>
      <c r="F69" s="45" t="s">
        <v>92</v>
      </c>
      <c r="G69" s="47">
        <v>200</v>
      </c>
      <c r="H69" s="47">
        <f>D69*G69</f>
        <v>100</v>
      </c>
      <c r="J69" s="47">
        <f t="shared" si="11"/>
        <v>100</v>
      </c>
      <c r="K69" s="47">
        <f t="shared" si="10"/>
        <v>100</v>
      </c>
      <c r="L69" s="306">
        <f t="shared" si="10"/>
        <v>100</v>
      </c>
      <c r="M69" s="303"/>
    </row>
    <row r="70" spans="2:13" s="23" customFormat="1" x14ac:dyDescent="0.3">
      <c r="B70" s="300" t="s">
        <v>128</v>
      </c>
      <c r="C70" s="301"/>
      <c r="D70" s="302">
        <v>27.5</v>
      </c>
      <c r="E70" s="303"/>
      <c r="F70" s="45" t="s">
        <v>104</v>
      </c>
      <c r="G70" s="47">
        <v>-3</v>
      </c>
      <c r="H70" s="47">
        <f>D70*G70</f>
        <v>-82.5</v>
      </c>
      <c r="J70" s="47">
        <f t="shared" si="11"/>
        <v>-82.5</v>
      </c>
      <c r="K70" s="47">
        <f t="shared" si="10"/>
        <v>-82.5</v>
      </c>
      <c r="L70" s="306">
        <f t="shared" si="10"/>
        <v>-82.5</v>
      </c>
      <c r="M70" s="303"/>
    </row>
    <row r="71" spans="2:13" s="23" customFormat="1" x14ac:dyDescent="0.3">
      <c r="B71" s="58" t="s">
        <v>105</v>
      </c>
      <c r="C71" s="59"/>
      <c r="D71" s="60"/>
      <c r="E71" s="60"/>
      <c r="F71" s="60"/>
      <c r="G71" s="61"/>
      <c r="H71" s="62"/>
      <c r="J71" s="33"/>
      <c r="K71" s="33"/>
      <c r="L71" s="302"/>
      <c r="M71" s="303"/>
    </row>
    <row r="72" spans="2:13" s="23" customFormat="1" x14ac:dyDescent="0.3">
      <c r="B72" s="300" t="s">
        <v>106</v>
      </c>
      <c r="C72" s="301"/>
      <c r="D72" s="313" t="s">
        <v>107</v>
      </c>
      <c r="E72" s="303"/>
      <c r="F72" s="45" t="s">
        <v>92</v>
      </c>
      <c r="G72" s="47">
        <v>225</v>
      </c>
      <c r="H72" s="47">
        <f t="shared" ref="H72:H77" si="12">D72*G72</f>
        <v>112.5</v>
      </c>
      <c r="J72" s="47">
        <f t="shared" ref="J72:J76" si="13">H72</f>
        <v>112.5</v>
      </c>
      <c r="K72" s="47">
        <f t="shared" ref="K72:L76" si="14">J72</f>
        <v>112.5</v>
      </c>
      <c r="L72" s="306">
        <f t="shared" si="14"/>
        <v>112.5</v>
      </c>
      <c r="M72" s="303"/>
    </row>
    <row r="73" spans="2:13" s="23" customFormat="1" x14ac:dyDescent="0.3">
      <c r="B73" s="300" t="s">
        <v>108</v>
      </c>
      <c r="C73" s="301"/>
      <c r="D73" s="302">
        <v>2</v>
      </c>
      <c r="E73" s="303"/>
      <c r="F73" s="45" t="s">
        <v>109</v>
      </c>
      <c r="G73" s="47">
        <v>50</v>
      </c>
      <c r="H73" s="47">
        <f t="shared" si="12"/>
        <v>100</v>
      </c>
      <c r="J73" s="47">
        <f t="shared" si="13"/>
        <v>100</v>
      </c>
      <c r="K73" s="47">
        <f t="shared" si="14"/>
        <v>100</v>
      </c>
      <c r="L73" s="306">
        <f t="shared" si="14"/>
        <v>100</v>
      </c>
      <c r="M73" s="303"/>
    </row>
    <row r="74" spans="2:13" s="23" customFormat="1" x14ac:dyDescent="0.3">
      <c r="B74" s="300" t="s">
        <v>110</v>
      </c>
      <c r="C74" s="301"/>
      <c r="D74" s="302">
        <v>1</v>
      </c>
      <c r="E74" s="303"/>
      <c r="F74" s="45" t="s">
        <v>94</v>
      </c>
      <c r="G74" s="47">
        <v>25</v>
      </c>
      <c r="H74" s="47">
        <f t="shared" si="12"/>
        <v>25</v>
      </c>
      <c r="J74" s="47">
        <f t="shared" si="13"/>
        <v>25</v>
      </c>
      <c r="K74" s="47">
        <f t="shared" si="14"/>
        <v>25</v>
      </c>
      <c r="L74" s="306">
        <f t="shared" si="14"/>
        <v>25</v>
      </c>
      <c r="M74" s="303"/>
    </row>
    <row r="75" spans="2:13" s="23" customFormat="1" x14ac:dyDescent="0.3">
      <c r="B75" s="300" t="s">
        <v>129</v>
      </c>
      <c r="C75" s="301"/>
      <c r="D75" s="302">
        <v>1</v>
      </c>
      <c r="E75" s="303"/>
      <c r="F75" s="45" t="s">
        <v>94</v>
      </c>
      <c r="G75" s="47">
        <v>266</v>
      </c>
      <c r="H75" s="47">
        <f t="shared" si="12"/>
        <v>266</v>
      </c>
      <c r="J75" s="47">
        <f t="shared" si="13"/>
        <v>266</v>
      </c>
      <c r="K75" s="47">
        <f t="shared" si="14"/>
        <v>266</v>
      </c>
      <c r="L75" s="306">
        <f t="shared" si="14"/>
        <v>266</v>
      </c>
      <c r="M75" s="303"/>
    </row>
    <row r="76" spans="2:13" s="23" customFormat="1" x14ac:dyDescent="0.3">
      <c r="B76" s="300" t="s">
        <v>130</v>
      </c>
      <c r="C76" s="301"/>
      <c r="D76" s="302">
        <v>1</v>
      </c>
      <c r="E76" s="303"/>
      <c r="F76" s="45" t="s">
        <v>117</v>
      </c>
      <c r="G76" s="47">
        <v>400</v>
      </c>
      <c r="H76" s="47">
        <f>IF('Input en resultaat'!F22=("centraal verwerkt"),(D76*G76),100)</f>
        <v>400</v>
      </c>
      <c r="J76" s="47">
        <f t="shared" si="13"/>
        <v>400</v>
      </c>
      <c r="K76" s="47">
        <f t="shared" si="14"/>
        <v>400</v>
      </c>
      <c r="L76" s="306">
        <f t="shared" si="14"/>
        <v>400</v>
      </c>
      <c r="M76" s="303"/>
    </row>
    <row r="77" spans="2:13" s="23" customFormat="1" x14ac:dyDescent="0.3">
      <c r="B77" s="300" t="s">
        <v>131</v>
      </c>
      <c r="C77" s="301"/>
      <c r="D77" s="302">
        <v>1</v>
      </c>
      <c r="E77" s="303"/>
      <c r="F77" s="45" t="s">
        <v>94</v>
      </c>
      <c r="G77" s="47">
        <v>150</v>
      </c>
      <c r="H77" s="47">
        <f t="shared" si="12"/>
        <v>150</v>
      </c>
      <c r="J77" s="47"/>
      <c r="K77" s="47"/>
      <c r="L77" s="74"/>
      <c r="M77" s="75"/>
    </row>
    <row r="78" spans="2:13" s="23" customFormat="1" x14ac:dyDescent="0.3">
      <c r="B78" s="58" t="s">
        <v>115</v>
      </c>
      <c r="C78" s="59"/>
      <c r="D78" s="60"/>
      <c r="E78" s="60"/>
      <c r="F78" s="60"/>
      <c r="G78" s="61"/>
      <c r="H78" s="62"/>
      <c r="J78" s="92"/>
      <c r="K78" s="92"/>
      <c r="L78" s="93"/>
      <c r="M78" s="76"/>
    </row>
    <row r="79" spans="2:13" s="23" customFormat="1" x14ac:dyDescent="0.3">
      <c r="B79" s="300" t="s">
        <v>116</v>
      </c>
      <c r="C79" s="301"/>
      <c r="D79" s="302">
        <v>0</v>
      </c>
      <c r="E79" s="303"/>
      <c r="F79" s="45" t="s">
        <v>117</v>
      </c>
      <c r="G79" s="47">
        <v>150</v>
      </c>
      <c r="H79" s="47">
        <f>D79*G79</f>
        <v>0</v>
      </c>
      <c r="J79" s="92">
        <f t="shared" ref="J79" si="15">H79</f>
        <v>0</v>
      </c>
      <c r="K79" s="92">
        <f t="shared" ref="K79:L79" si="16">J79</f>
        <v>0</v>
      </c>
      <c r="L79" s="304">
        <f t="shared" si="16"/>
        <v>0</v>
      </c>
      <c r="M79" s="305"/>
    </row>
    <row r="80" spans="2:13" s="23" customFormat="1" x14ac:dyDescent="0.3">
      <c r="B80" s="63" t="s">
        <v>132</v>
      </c>
      <c r="C80" s="64"/>
      <c r="D80" s="65"/>
      <c r="E80" s="65"/>
      <c r="F80" s="65"/>
      <c r="G80" s="66"/>
      <c r="H80" s="67"/>
      <c r="J80" s="33"/>
      <c r="K80" s="33"/>
      <c r="L80" s="302"/>
      <c r="M80" s="303"/>
    </row>
    <row r="81" spans="2:13" s="23" customFormat="1" x14ac:dyDescent="0.3">
      <c r="B81" s="300" t="s">
        <v>119</v>
      </c>
      <c r="C81" s="301"/>
      <c r="D81" s="302">
        <v>0</v>
      </c>
      <c r="E81" s="303"/>
      <c r="F81" s="45" t="s">
        <v>92</v>
      </c>
      <c r="G81" s="47">
        <v>100</v>
      </c>
      <c r="H81" s="47">
        <f>D81*G81</f>
        <v>0</v>
      </c>
      <c r="J81" s="47">
        <f>H81</f>
        <v>0</v>
      </c>
      <c r="K81" s="47">
        <v>0</v>
      </c>
      <c r="L81" s="306">
        <v>0</v>
      </c>
      <c r="M81" s="303"/>
    </row>
    <row r="82" spans="2:13" s="23" customFormat="1" x14ac:dyDescent="0.3">
      <c r="B82" s="63" t="s">
        <v>133</v>
      </c>
      <c r="C82" s="64"/>
      <c r="D82" s="65"/>
      <c r="E82" s="65"/>
      <c r="F82" s="65"/>
      <c r="G82" s="66"/>
      <c r="H82" s="67"/>
      <c r="J82" s="33"/>
      <c r="K82" s="33"/>
      <c r="L82" s="302"/>
      <c r="M82" s="303"/>
    </row>
    <row r="83" spans="2:13" s="23" customFormat="1" x14ac:dyDescent="0.3">
      <c r="B83" s="300" t="s">
        <v>121</v>
      </c>
      <c r="C83" s="301"/>
      <c r="D83" s="312"/>
      <c r="E83" s="305"/>
      <c r="F83" s="33"/>
      <c r="G83" s="33"/>
      <c r="H83" s="33">
        <f>'Input en resultaat'!K7+'Input en resultaat'!M7</f>
        <v>0</v>
      </c>
      <c r="J83" s="33">
        <f>H83</f>
        <v>0</v>
      </c>
      <c r="K83" s="33">
        <f>H83</f>
        <v>0</v>
      </c>
      <c r="L83" s="302">
        <f>H83</f>
        <v>0</v>
      </c>
      <c r="M83" s="303"/>
    </row>
    <row r="84" spans="2:13" s="23" customFormat="1" x14ac:dyDescent="0.3">
      <c r="G84" s="53" t="s">
        <v>87</v>
      </c>
      <c r="H84" s="54">
        <f>SUM(H61:H83)</f>
        <v>1499.75</v>
      </c>
      <c r="J84" s="54">
        <f>SUM(J61:J83)</f>
        <v>1349.75</v>
      </c>
      <c r="K84" s="54">
        <f t="shared" ref="K84" si="17">SUM(K61:K83)</f>
        <v>1349.75</v>
      </c>
      <c r="L84" s="310">
        <f>SUM(L61:M83)</f>
        <v>1349.75</v>
      </c>
      <c r="M84" s="311"/>
    </row>
    <row r="85" spans="2:13" s="23" customFormat="1" x14ac:dyDescent="0.3"/>
    <row r="86" spans="2:13" s="23" customFormat="1" x14ac:dyDescent="0.3"/>
    <row r="87" spans="2:13" s="23" customFormat="1" x14ac:dyDescent="0.3"/>
    <row r="88" spans="2:13" s="23" customFormat="1" x14ac:dyDescent="0.3"/>
    <row r="89" spans="2:13" s="23" customFormat="1" x14ac:dyDescent="0.3"/>
    <row r="90" spans="2:13" s="23" customFormat="1" x14ac:dyDescent="0.3"/>
    <row r="91" spans="2:13" s="23" customFormat="1" x14ac:dyDescent="0.3"/>
    <row r="92" spans="2:13" s="23" customFormat="1" x14ac:dyDescent="0.3"/>
    <row r="93" spans="2:13" s="23" customFormat="1" x14ac:dyDescent="0.3"/>
    <row r="94" spans="2:13" s="23" customFormat="1" x14ac:dyDescent="0.3"/>
    <row r="95" spans="2:13" s="23" customFormat="1" x14ac:dyDescent="0.3"/>
    <row r="96" spans="2:13"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23" customFormat="1" x14ac:dyDescent="0.3"/>
    <row r="114" s="23" customFormat="1" x14ac:dyDescent="0.3"/>
    <row r="115" s="23" customFormat="1" x14ac:dyDescent="0.3"/>
    <row r="116" s="23" customFormat="1" x14ac:dyDescent="0.3"/>
    <row r="117" s="23" customFormat="1" x14ac:dyDescent="0.3"/>
    <row r="118" s="23" customFormat="1" x14ac:dyDescent="0.3"/>
    <row r="119" s="23" customFormat="1" x14ac:dyDescent="0.3"/>
    <row r="120" s="23" customFormat="1" x14ac:dyDescent="0.3"/>
    <row r="121" s="23" customFormat="1" x14ac:dyDescent="0.3"/>
    <row r="122" s="23" customFormat="1" x14ac:dyDescent="0.3"/>
    <row r="123" s="23" customFormat="1" x14ac:dyDescent="0.3"/>
    <row r="124" s="23" customFormat="1" x14ac:dyDescent="0.3"/>
    <row r="125" s="23" customFormat="1" x14ac:dyDescent="0.3"/>
    <row r="126" s="23" customFormat="1" x14ac:dyDescent="0.3"/>
    <row r="127" s="23" customFormat="1" x14ac:dyDescent="0.3"/>
    <row r="128" s="23" customFormat="1" x14ac:dyDescent="0.3"/>
    <row r="129" s="23" customFormat="1" x14ac:dyDescent="0.3"/>
    <row r="130" s="23" customFormat="1" x14ac:dyDescent="0.3"/>
    <row r="131" s="23" customFormat="1" x14ac:dyDescent="0.3"/>
    <row r="132" s="23" customFormat="1" x14ac:dyDescent="0.3"/>
    <row r="133" s="23" customFormat="1" x14ac:dyDescent="0.3"/>
    <row r="134" s="23" customFormat="1" x14ac:dyDescent="0.3"/>
    <row r="135" s="23" customFormat="1" x14ac:dyDescent="0.3"/>
    <row r="136" s="23" customFormat="1" x14ac:dyDescent="0.3"/>
    <row r="137" s="23" customFormat="1" x14ac:dyDescent="0.3"/>
    <row r="138" s="23" customFormat="1" x14ac:dyDescent="0.3"/>
    <row r="139" s="23" customFormat="1" x14ac:dyDescent="0.3"/>
    <row r="140" s="23" customFormat="1" x14ac:dyDescent="0.3"/>
    <row r="141" s="23" customFormat="1" x14ac:dyDescent="0.3"/>
    <row r="142" s="23" customFormat="1" x14ac:dyDescent="0.3"/>
    <row r="143" s="23" customFormat="1" x14ac:dyDescent="0.3"/>
    <row r="144" s="23" customFormat="1" x14ac:dyDescent="0.3"/>
    <row r="145" s="23" customFormat="1" x14ac:dyDescent="0.3"/>
    <row r="146" s="23" customFormat="1" x14ac:dyDescent="0.3"/>
    <row r="147" s="23" customFormat="1" x14ac:dyDescent="0.3"/>
    <row r="148" s="23" customFormat="1" x14ac:dyDescent="0.3"/>
    <row r="149" s="23" customFormat="1" x14ac:dyDescent="0.3"/>
    <row r="150" s="23" customFormat="1" x14ac:dyDescent="0.3"/>
    <row r="151" s="23" customFormat="1" x14ac:dyDescent="0.3"/>
    <row r="152" s="23" customFormat="1" x14ac:dyDescent="0.3"/>
    <row r="153" s="23" customFormat="1" x14ac:dyDescent="0.3"/>
  </sheetData>
  <mergeCells count="70">
    <mergeCell ref="B3:D3"/>
    <mergeCell ref="J3:K3"/>
    <mergeCell ref="M3:O3"/>
    <mergeCell ref="F3:H3"/>
    <mergeCell ref="B61:C61"/>
    <mergeCell ref="D61:E61"/>
    <mergeCell ref="D60:E60"/>
    <mergeCell ref="B60:C60"/>
    <mergeCell ref="L60:M60"/>
    <mergeCell ref="L61:M61"/>
    <mergeCell ref="B62:C62"/>
    <mergeCell ref="B67:C67"/>
    <mergeCell ref="B68:C68"/>
    <mergeCell ref="B64:C64"/>
    <mergeCell ref="B65:C65"/>
    <mergeCell ref="B63:C63"/>
    <mergeCell ref="B66:C66"/>
    <mergeCell ref="B69:C69"/>
    <mergeCell ref="B70:C70"/>
    <mergeCell ref="B72:C72"/>
    <mergeCell ref="B73:C73"/>
    <mergeCell ref="B74:C74"/>
    <mergeCell ref="B75:C75"/>
    <mergeCell ref="B76:C76"/>
    <mergeCell ref="B81:C81"/>
    <mergeCell ref="B83:C83"/>
    <mergeCell ref="B77:C77"/>
    <mergeCell ref="D62:E62"/>
    <mergeCell ref="D67:E67"/>
    <mergeCell ref="D68:E68"/>
    <mergeCell ref="D64:E64"/>
    <mergeCell ref="D65:E65"/>
    <mergeCell ref="D63:E63"/>
    <mergeCell ref="D69:E69"/>
    <mergeCell ref="D70:E70"/>
    <mergeCell ref="D72:E72"/>
    <mergeCell ref="D73:E73"/>
    <mergeCell ref="D74:E74"/>
    <mergeCell ref="D75:E75"/>
    <mergeCell ref="D76:E76"/>
    <mergeCell ref="D81:E81"/>
    <mergeCell ref="D83:E83"/>
    <mergeCell ref="D77:E77"/>
    <mergeCell ref="L62:M62"/>
    <mergeCell ref="L63:M63"/>
    <mergeCell ref="L64:M64"/>
    <mergeCell ref="L65:M65"/>
    <mergeCell ref="L66:M66"/>
    <mergeCell ref="L84:M84"/>
    <mergeCell ref="L76:M76"/>
    <mergeCell ref="L80:M80"/>
    <mergeCell ref="L81:M81"/>
    <mergeCell ref="L82:M82"/>
    <mergeCell ref="L83:M83"/>
    <mergeCell ref="Q2:R2"/>
    <mergeCell ref="Q3:R3"/>
    <mergeCell ref="U4:V4"/>
    <mergeCell ref="W4:X4"/>
    <mergeCell ref="B79:C79"/>
    <mergeCell ref="D79:E79"/>
    <mergeCell ref="L79:M79"/>
    <mergeCell ref="L72:M72"/>
    <mergeCell ref="L73:M73"/>
    <mergeCell ref="L74:M74"/>
    <mergeCell ref="L75:M75"/>
    <mergeCell ref="L67:M67"/>
    <mergeCell ref="L68:M68"/>
    <mergeCell ref="L69:M69"/>
    <mergeCell ref="L70:M70"/>
    <mergeCell ref="L71:M71"/>
  </mergeCells>
  <pageMargins left="0.7" right="0.7" top="0.75" bottom="0.75" header="0.3" footer="0.3"/>
  <pageSetup paperSize="9" scale="56"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B65A-F372-4B74-884C-78F394E6AC78}">
  <sheetPr codeName="Blad5">
    <tabColor theme="7"/>
  </sheetPr>
  <dimension ref="A1:AV156"/>
  <sheetViews>
    <sheetView workbookViewId="0">
      <selection activeCell="Y5" sqref="Y5"/>
    </sheetView>
  </sheetViews>
  <sheetFormatPr defaultColWidth="11" defaultRowHeight="15.6" x14ac:dyDescent="0.3"/>
  <cols>
    <col min="1" max="1" width="5.8984375" style="23" customWidth="1"/>
    <col min="2" max="2" width="12.3984375" customWidth="1"/>
    <col min="3" max="3" width="14.09765625" customWidth="1"/>
    <col min="4" max="4" width="13.69921875" customWidth="1"/>
    <col min="5" max="5" width="2" style="23" customWidth="1"/>
    <col min="6" max="8" width="12.8984375" customWidth="1"/>
    <col min="9" max="9" width="2.19921875" style="23" customWidth="1"/>
    <col min="10" max="11" width="12.19921875" customWidth="1"/>
    <col min="12" max="12" width="2.19921875" style="23" customWidth="1"/>
    <col min="13" max="14" width="10.8984375" customWidth="1"/>
    <col min="15" max="15" width="11.3984375" customWidth="1"/>
    <col min="16" max="16" width="1.59765625" style="23" customWidth="1"/>
    <col min="17" max="18" width="10.5" style="23" customWidth="1"/>
    <col min="19" max="19" width="1.8984375" style="23" customWidth="1"/>
    <col min="20" max="25" width="11.8984375" customWidth="1"/>
    <col min="26" max="48" width="11" style="23"/>
  </cols>
  <sheetData>
    <row r="1" spans="1:48" s="23" customFormat="1" ht="16.2" thickBot="1" x14ac:dyDescent="0.35">
      <c r="A1" s="24" t="s">
        <v>56</v>
      </c>
    </row>
    <row r="2" spans="1:48" s="23" customFormat="1" ht="16.2" thickBot="1" x14ac:dyDescent="0.35">
      <c r="A2" s="24"/>
      <c r="Q2" s="289" t="s">
        <v>57</v>
      </c>
      <c r="R2" s="290"/>
      <c r="T2" s="3"/>
      <c r="U2" s="4" t="s">
        <v>58</v>
      </c>
      <c r="V2" s="84">
        <f>'Input en resultaat'!G29</f>
        <v>0</v>
      </c>
      <c r="W2" s="5" t="s">
        <v>58</v>
      </c>
      <c r="X2" s="85">
        <f>'Input en resultaat'!G27</f>
        <v>0.8</v>
      </c>
      <c r="Y2" s="7"/>
    </row>
    <row r="3" spans="1:48" s="1" customFormat="1" ht="16.2" thickBot="1" x14ac:dyDescent="0.35">
      <c r="A3" s="24"/>
      <c r="B3" s="296" t="s">
        <v>122</v>
      </c>
      <c r="C3" s="296"/>
      <c r="D3" s="296"/>
      <c r="E3" s="24"/>
      <c r="F3" s="299" t="s">
        <v>60</v>
      </c>
      <c r="G3" s="299"/>
      <c r="H3" s="299"/>
      <c r="I3" s="24"/>
      <c r="J3" s="297" t="s">
        <v>123</v>
      </c>
      <c r="K3" s="297"/>
      <c r="L3" s="24"/>
      <c r="M3" s="298" t="s">
        <v>124</v>
      </c>
      <c r="N3" s="298"/>
      <c r="O3" s="298"/>
      <c r="P3" s="27"/>
      <c r="Q3" s="291" t="s">
        <v>63</v>
      </c>
      <c r="R3" s="291"/>
      <c r="S3" s="79"/>
      <c r="T3" s="90" t="s">
        <v>57</v>
      </c>
      <c r="U3" s="8"/>
      <c r="V3" s="86">
        <f>'Input en resultaat'!G28</f>
        <v>0</v>
      </c>
      <c r="W3" s="9"/>
      <c r="X3" s="87">
        <f>'Input en resultaat'!G26</f>
        <v>70</v>
      </c>
      <c r="Y3" s="90" t="s">
        <v>57</v>
      </c>
      <c r="Z3" s="24"/>
      <c r="AA3" s="24"/>
      <c r="AB3" s="24"/>
      <c r="AC3" s="24"/>
      <c r="AD3" s="24"/>
      <c r="AE3" s="24"/>
      <c r="AF3" s="24"/>
      <c r="AG3" s="24"/>
      <c r="AH3" s="24"/>
      <c r="AI3" s="24"/>
      <c r="AJ3" s="24"/>
      <c r="AK3" s="24"/>
      <c r="AL3" s="24"/>
      <c r="AM3" s="24"/>
      <c r="AN3" s="24"/>
      <c r="AO3" s="24"/>
      <c r="AP3" s="24"/>
      <c r="AQ3" s="24"/>
      <c r="AR3" s="24"/>
      <c r="AS3" s="24"/>
      <c r="AT3" s="24"/>
      <c r="AU3" s="24"/>
      <c r="AV3" s="24"/>
    </row>
    <row r="4" spans="1:48" s="2" customFormat="1" ht="31.8" thickBot="1" x14ac:dyDescent="0.35">
      <c r="A4" s="25"/>
      <c r="B4" s="34" t="s">
        <v>125</v>
      </c>
      <c r="C4" s="34" t="s">
        <v>64</v>
      </c>
      <c r="D4" s="34" t="s">
        <v>65</v>
      </c>
      <c r="E4" s="25"/>
      <c r="F4" s="39" t="s">
        <v>66</v>
      </c>
      <c r="G4" s="39" t="s">
        <v>67</v>
      </c>
      <c r="H4" s="39" t="s">
        <v>68</v>
      </c>
      <c r="I4" s="25"/>
      <c r="J4" s="41" t="s">
        <v>69</v>
      </c>
      <c r="K4" s="41" t="s">
        <v>65</v>
      </c>
      <c r="L4" s="25"/>
      <c r="M4" s="43" t="s">
        <v>70</v>
      </c>
      <c r="N4" s="43" t="s">
        <v>71</v>
      </c>
      <c r="O4" s="43" t="s">
        <v>81</v>
      </c>
      <c r="P4" s="28"/>
      <c r="Q4" s="80" t="s">
        <v>134</v>
      </c>
      <c r="R4" s="80" t="s">
        <v>135</v>
      </c>
      <c r="S4" s="28"/>
      <c r="T4" s="11" t="s">
        <v>74</v>
      </c>
      <c r="U4" s="292" t="s">
        <v>75</v>
      </c>
      <c r="V4" s="293"/>
      <c r="W4" s="294" t="s">
        <v>76</v>
      </c>
      <c r="X4" s="295"/>
      <c r="Y4" s="12" t="s">
        <v>77</v>
      </c>
      <c r="Z4" s="25"/>
      <c r="AA4" s="25"/>
      <c r="AB4" s="25"/>
      <c r="AC4" s="25"/>
      <c r="AD4" s="25"/>
      <c r="AE4" s="25"/>
      <c r="AF4" s="25"/>
      <c r="AG4" s="25"/>
      <c r="AH4" s="25"/>
      <c r="AI4" s="25"/>
      <c r="AJ4" s="25"/>
      <c r="AK4" s="25"/>
      <c r="AL4" s="25"/>
      <c r="AM4" s="25"/>
      <c r="AN4" s="25"/>
      <c r="AO4" s="25"/>
      <c r="AP4" s="25"/>
      <c r="AQ4" s="25"/>
      <c r="AR4" s="25"/>
      <c r="AS4" s="25"/>
      <c r="AT4" s="25"/>
      <c r="AU4" s="25"/>
      <c r="AV4" s="25"/>
    </row>
    <row r="5" spans="1:48" x14ac:dyDescent="0.3">
      <c r="A5" s="23">
        <v>2023</v>
      </c>
      <c r="B5" s="35">
        <f>F5</f>
        <v>1552</v>
      </c>
      <c r="C5" s="36">
        <f>J5</f>
        <v>949.5</v>
      </c>
      <c r="D5" s="36">
        <f>K5</f>
        <v>1263.0999999999999</v>
      </c>
      <c r="E5" s="26"/>
      <c r="F5" s="40">
        <f>Mais!F5</f>
        <v>1552</v>
      </c>
      <c r="G5" s="40">
        <f>Mais!G5</f>
        <v>2924</v>
      </c>
      <c r="H5" s="40">
        <f>Mais!H5</f>
        <v>1372</v>
      </c>
      <c r="I5" s="26"/>
      <c r="J5" s="42">
        <f t="shared" ref="J5:J25" si="0">T5+Y5-M5-N5-O5</f>
        <v>949.5</v>
      </c>
      <c r="K5" s="42">
        <f t="shared" ref="K5:K25" si="1">J5+V5+X5</f>
        <v>1263.0999999999999</v>
      </c>
      <c r="L5" s="30"/>
      <c r="M5" s="44">
        <f>SUM(J61:J65)</f>
        <v>398</v>
      </c>
      <c r="N5" s="44">
        <f>SUM(J67:J74)</f>
        <v>834</v>
      </c>
      <c r="O5" s="44">
        <f>SUM(J76:J86)</f>
        <v>772.5</v>
      </c>
      <c r="P5" s="29"/>
      <c r="Q5" s="81">
        <f>'Input en resultaat'!G18</f>
        <v>4</v>
      </c>
      <c r="R5" s="81">
        <f>'Input en resultaat'!H18</f>
        <v>8</v>
      </c>
      <c r="S5" s="29"/>
      <c r="T5" s="13">
        <f>(Q5*'Input en resultaat'!G$23+(Graan!R5*'Input en resultaat'!H$23))</f>
        <v>2480</v>
      </c>
      <c r="U5" s="14">
        <v>0.4</v>
      </c>
      <c r="V5" s="127">
        <f>U5*V$3*V$2</f>
        <v>0</v>
      </c>
      <c r="W5" s="88">
        <f>1.4*(Q5+R5)*'Input en resultaat'!G$25</f>
        <v>5.5999999999999988</v>
      </c>
      <c r="X5" s="89">
        <f>W5*(X$3*X$2)</f>
        <v>313.59999999999991</v>
      </c>
      <c r="Y5" s="17">
        <f>'Input en resultaat'!G$30+'Input en resultaat'!G$31</f>
        <v>474</v>
      </c>
    </row>
    <row r="6" spans="1:48" x14ac:dyDescent="0.3">
      <c r="A6" s="23">
        <v>2024</v>
      </c>
      <c r="B6" s="35">
        <f t="shared" ref="B6:B25" si="2">B5+F6</f>
        <v>3104</v>
      </c>
      <c r="C6" s="36">
        <f t="shared" ref="C6:D21" si="3">C5+J6</f>
        <v>1899</v>
      </c>
      <c r="D6" s="36">
        <f t="shared" si="3"/>
        <v>2526.1999999999998</v>
      </c>
      <c r="E6" s="26"/>
      <c r="F6" s="40">
        <f>Mais!F6</f>
        <v>1552</v>
      </c>
      <c r="G6" s="40">
        <f>Mais!G6</f>
        <v>2924</v>
      </c>
      <c r="H6" s="40">
        <f>Mais!H6</f>
        <v>1372</v>
      </c>
      <c r="I6" s="26"/>
      <c r="J6" s="42">
        <f t="shared" si="0"/>
        <v>949.5</v>
      </c>
      <c r="K6" s="42">
        <f t="shared" si="1"/>
        <v>1263.0999999999999</v>
      </c>
      <c r="L6" s="30"/>
      <c r="M6" s="44">
        <f>SUM(K61:K65)</f>
        <v>398</v>
      </c>
      <c r="N6" s="44">
        <f>SUM(K67:K74)</f>
        <v>834</v>
      </c>
      <c r="O6" s="44">
        <f>SUM(K76:K86)</f>
        <v>772.5</v>
      </c>
      <c r="P6" s="29"/>
      <c r="Q6" s="81">
        <f>Q5</f>
        <v>4</v>
      </c>
      <c r="R6" s="81">
        <f>R5</f>
        <v>8</v>
      </c>
      <c r="S6" s="29"/>
      <c r="T6" s="13">
        <f>(Q6*'Input en resultaat'!G$23+(Graan!R6*'Input en resultaat'!H$23))</f>
        <v>2480</v>
      </c>
      <c r="U6" s="14">
        <v>1.1499999999999999</v>
      </c>
      <c r="V6" s="112">
        <f t="shared" ref="V6:V25" si="4">U6*V$3*V$2</f>
        <v>0</v>
      </c>
      <c r="W6" s="15">
        <f>1.4*(Q6+R6)*'Input en resultaat'!G$25</f>
        <v>5.5999999999999988</v>
      </c>
      <c r="X6" s="16">
        <f t="shared" ref="X6:X25" si="5">W6*(X$3*X$2)</f>
        <v>313.59999999999991</v>
      </c>
      <c r="Y6" s="17">
        <f>'Input en resultaat'!G$30+'Input en resultaat'!G$31</f>
        <v>474</v>
      </c>
    </row>
    <row r="7" spans="1:48" x14ac:dyDescent="0.3">
      <c r="A7" s="23">
        <v>2025</v>
      </c>
      <c r="B7" s="35">
        <f t="shared" si="2"/>
        <v>4656</v>
      </c>
      <c r="C7" s="36">
        <f t="shared" si="3"/>
        <v>2848.5</v>
      </c>
      <c r="D7" s="36">
        <f t="shared" si="3"/>
        <v>3789.2999999999997</v>
      </c>
      <c r="E7" s="26"/>
      <c r="F7" s="40">
        <f>Mais!F7</f>
        <v>1552</v>
      </c>
      <c r="G7" s="40">
        <f>Mais!G7</f>
        <v>2924</v>
      </c>
      <c r="H7" s="40">
        <f>Mais!H7</f>
        <v>1372</v>
      </c>
      <c r="I7" s="26"/>
      <c r="J7" s="42">
        <f t="shared" si="0"/>
        <v>949.5</v>
      </c>
      <c r="K7" s="42">
        <f t="shared" si="1"/>
        <v>1263.0999999999999</v>
      </c>
      <c r="L7" s="30"/>
      <c r="M7" s="44">
        <f>SUM(L61:M65)</f>
        <v>398</v>
      </c>
      <c r="N7" s="44">
        <f>SUM(L67:M74)</f>
        <v>834</v>
      </c>
      <c r="O7" s="44">
        <f>SUM(L76:M86)</f>
        <v>772.5</v>
      </c>
      <c r="P7" s="29"/>
      <c r="Q7" s="81">
        <f t="shared" ref="Q7:R25" si="6">Q6</f>
        <v>4</v>
      </c>
      <c r="R7" s="81">
        <f t="shared" si="6"/>
        <v>8</v>
      </c>
      <c r="S7" s="29"/>
      <c r="T7" s="13">
        <f>(Q7*'Input en resultaat'!G$23+(Graan!R7*'Input en resultaat'!H$23))</f>
        <v>2480</v>
      </c>
      <c r="U7" s="14">
        <v>1.85</v>
      </c>
      <c r="V7" s="112">
        <f t="shared" si="4"/>
        <v>0</v>
      </c>
      <c r="W7" s="15">
        <f>1.4*(Q7+R7)*'Input en resultaat'!G$25</f>
        <v>5.5999999999999988</v>
      </c>
      <c r="X7" s="16">
        <f t="shared" si="5"/>
        <v>313.59999999999991</v>
      </c>
      <c r="Y7" s="17">
        <f>'Input en resultaat'!G$30+'Input en resultaat'!G$31</f>
        <v>474</v>
      </c>
    </row>
    <row r="8" spans="1:48" x14ac:dyDescent="0.3">
      <c r="A8" s="23">
        <v>2026</v>
      </c>
      <c r="B8" s="35">
        <f t="shared" si="2"/>
        <v>6208</v>
      </c>
      <c r="C8" s="36">
        <f t="shared" si="3"/>
        <v>3798</v>
      </c>
      <c r="D8" s="36">
        <f t="shared" si="3"/>
        <v>5052.3999999999996</v>
      </c>
      <c r="E8" s="26"/>
      <c r="F8" s="40">
        <f>Mais!F8</f>
        <v>1552</v>
      </c>
      <c r="G8" s="40">
        <f>Mais!G8</f>
        <v>2924</v>
      </c>
      <c r="H8" s="40">
        <f>Mais!H8</f>
        <v>1372</v>
      </c>
      <c r="I8" s="26"/>
      <c r="J8" s="42">
        <f t="shared" si="0"/>
        <v>949.5</v>
      </c>
      <c r="K8" s="42">
        <f t="shared" si="1"/>
        <v>1263.0999999999999</v>
      </c>
      <c r="L8" s="30"/>
      <c r="M8" s="44">
        <f>M7</f>
        <v>398</v>
      </c>
      <c r="N8" s="44">
        <f>N7</f>
        <v>834</v>
      </c>
      <c r="O8" s="44">
        <f>O7</f>
        <v>772.5</v>
      </c>
      <c r="P8" s="29"/>
      <c r="Q8" s="81">
        <f t="shared" si="6"/>
        <v>4</v>
      </c>
      <c r="R8" s="81">
        <f t="shared" si="6"/>
        <v>8</v>
      </c>
      <c r="S8" s="29"/>
      <c r="T8" s="13">
        <f>(Q8*'Input en resultaat'!G$23+(Graan!R8*'Input en resultaat'!H$23))</f>
        <v>2480</v>
      </c>
      <c r="U8" s="14">
        <v>2.35</v>
      </c>
      <c r="V8" s="112">
        <f t="shared" si="4"/>
        <v>0</v>
      </c>
      <c r="W8" s="15">
        <f>1.4*(Q8+R8)*'Input en resultaat'!G$25</f>
        <v>5.5999999999999988</v>
      </c>
      <c r="X8" s="16">
        <f t="shared" si="5"/>
        <v>313.59999999999991</v>
      </c>
      <c r="Y8" s="17">
        <f>'Input en resultaat'!G$30+'Input en resultaat'!G$31</f>
        <v>474</v>
      </c>
    </row>
    <row r="9" spans="1:48" x14ac:dyDescent="0.3">
      <c r="A9" s="23">
        <v>2027</v>
      </c>
      <c r="B9" s="35">
        <f t="shared" si="2"/>
        <v>7760</v>
      </c>
      <c r="C9" s="36">
        <f t="shared" si="3"/>
        <v>4747.5</v>
      </c>
      <c r="D9" s="36">
        <f t="shared" si="3"/>
        <v>6315.5</v>
      </c>
      <c r="E9" s="26"/>
      <c r="F9" s="40">
        <f>Mais!F9</f>
        <v>1552</v>
      </c>
      <c r="G9" s="40">
        <f>Mais!G9</f>
        <v>2924</v>
      </c>
      <c r="H9" s="40">
        <f>Mais!H9</f>
        <v>1372</v>
      </c>
      <c r="I9" s="26"/>
      <c r="J9" s="42">
        <f t="shared" si="0"/>
        <v>949.5</v>
      </c>
      <c r="K9" s="42">
        <f t="shared" si="1"/>
        <v>1263.0999999999999</v>
      </c>
      <c r="L9" s="30"/>
      <c r="M9" s="44">
        <f t="shared" ref="M9:O24" si="7">M8</f>
        <v>398</v>
      </c>
      <c r="N9" s="44">
        <f t="shared" si="7"/>
        <v>834</v>
      </c>
      <c r="O9" s="44">
        <f t="shared" si="7"/>
        <v>772.5</v>
      </c>
      <c r="P9" s="29"/>
      <c r="Q9" s="81">
        <f t="shared" si="6"/>
        <v>4</v>
      </c>
      <c r="R9" s="81">
        <f t="shared" si="6"/>
        <v>8</v>
      </c>
      <c r="S9" s="29"/>
      <c r="T9" s="13">
        <f>(Q9*'Input en resultaat'!G$23+(Graan!R9*'Input en resultaat'!H$23))</f>
        <v>2480</v>
      </c>
      <c r="U9" s="14">
        <v>2.35</v>
      </c>
      <c r="V9" s="112">
        <f t="shared" si="4"/>
        <v>0</v>
      </c>
      <c r="W9" s="15">
        <f>1.4*(Q9+R9)*'Input en resultaat'!G$25</f>
        <v>5.5999999999999988</v>
      </c>
      <c r="X9" s="16">
        <f t="shared" si="5"/>
        <v>313.59999999999991</v>
      </c>
      <c r="Y9" s="17">
        <f>'Input en resultaat'!G$30+'Input en resultaat'!G$31</f>
        <v>474</v>
      </c>
    </row>
    <row r="10" spans="1:48" x14ac:dyDescent="0.3">
      <c r="A10" s="23">
        <v>2028</v>
      </c>
      <c r="B10" s="35">
        <f t="shared" si="2"/>
        <v>9312</v>
      </c>
      <c r="C10" s="36">
        <f t="shared" si="3"/>
        <v>5697</v>
      </c>
      <c r="D10" s="36">
        <f t="shared" si="3"/>
        <v>7578.6</v>
      </c>
      <c r="E10" s="26"/>
      <c r="F10" s="40">
        <f>Mais!F10</f>
        <v>1552</v>
      </c>
      <c r="G10" s="40">
        <f>Mais!G10</f>
        <v>2924</v>
      </c>
      <c r="H10" s="40">
        <f>Mais!H10</f>
        <v>1372</v>
      </c>
      <c r="I10" s="26"/>
      <c r="J10" s="42">
        <f t="shared" si="0"/>
        <v>949.5</v>
      </c>
      <c r="K10" s="42">
        <f t="shared" si="1"/>
        <v>1263.0999999999999</v>
      </c>
      <c r="L10" s="30"/>
      <c r="M10" s="44">
        <f t="shared" si="7"/>
        <v>398</v>
      </c>
      <c r="N10" s="44">
        <f t="shared" si="7"/>
        <v>834</v>
      </c>
      <c r="O10" s="44">
        <f t="shared" si="7"/>
        <v>772.5</v>
      </c>
      <c r="P10" s="29"/>
      <c r="Q10" s="81">
        <f t="shared" si="6"/>
        <v>4</v>
      </c>
      <c r="R10" s="81">
        <f t="shared" si="6"/>
        <v>8</v>
      </c>
      <c r="S10" s="29"/>
      <c r="T10" s="13">
        <f>(Q10*'Input en resultaat'!G$23+(Graan!R10*'Input en resultaat'!H$23))</f>
        <v>2480</v>
      </c>
      <c r="U10" s="14">
        <v>2.35</v>
      </c>
      <c r="V10" s="112">
        <f t="shared" si="4"/>
        <v>0</v>
      </c>
      <c r="W10" s="15">
        <f>1.4*(Q10+R10)*'Input en resultaat'!G$25</f>
        <v>5.5999999999999988</v>
      </c>
      <c r="X10" s="16">
        <f t="shared" si="5"/>
        <v>313.59999999999991</v>
      </c>
      <c r="Y10" s="17">
        <f>'Input en resultaat'!G$30+'Input en resultaat'!G$31</f>
        <v>474</v>
      </c>
    </row>
    <row r="11" spans="1:48" x14ac:dyDescent="0.3">
      <c r="A11" s="23">
        <v>2029</v>
      </c>
      <c r="B11" s="35">
        <f t="shared" si="2"/>
        <v>10864</v>
      </c>
      <c r="C11" s="36">
        <f t="shared" si="3"/>
        <v>6646.5</v>
      </c>
      <c r="D11" s="36">
        <f t="shared" si="3"/>
        <v>8841.7000000000007</v>
      </c>
      <c r="E11" s="26"/>
      <c r="F11" s="40">
        <f>Mais!F11</f>
        <v>1552</v>
      </c>
      <c r="G11" s="40">
        <f>Mais!G11</f>
        <v>2924</v>
      </c>
      <c r="H11" s="40">
        <f>Mais!H11</f>
        <v>1372</v>
      </c>
      <c r="I11" s="26"/>
      <c r="J11" s="42">
        <f t="shared" si="0"/>
        <v>949.5</v>
      </c>
      <c r="K11" s="42">
        <f t="shared" si="1"/>
        <v>1263.0999999999999</v>
      </c>
      <c r="L11" s="30"/>
      <c r="M11" s="44">
        <f t="shared" si="7"/>
        <v>398</v>
      </c>
      <c r="N11" s="44">
        <f t="shared" si="7"/>
        <v>834</v>
      </c>
      <c r="O11" s="44">
        <f t="shared" si="7"/>
        <v>772.5</v>
      </c>
      <c r="P11" s="29"/>
      <c r="Q11" s="81">
        <f t="shared" si="6"/>
        <v>4</v>
      </c>
      <c r="R11" s="81">
        <f t="shared" si="6"/>
        <v>8</v>
      </c>
      <c r="S11" s="29"/>
      <c r="T11" s="13">
        <f>(Q11*'Input en resultaat'!G$23+(Graan!R11*'Input en resultaat'!H$23))</f>
        <v>2480</v>
      </c>
      <c r="U11" s="14">
        <v>2.35</v>
      </c>
      <c r="V11" s="112">
        <f t="shared" si="4"/>
        <v>0</v>
      </c>
      <c r="W11" s="15">
        <f>1.4*(Q11+R11)*'Input en resultaat'!G$25</f>
        <v>5.5999999999999988</v>
      </c>
      <c r="X11" s="16">
        <f t="shared" si="5"/>
        <v>313.59999999999991</v>
      </c>
      <c r="Y11" s="17">
        <f>'Input en resultaat'!G$30+'Input en resultaat'!G$31</f>
        <v>474</v>
      </c>
    </row>
    <row r="12" spans="1:48" x14ac:dyDescent="0.3">
      <c r="A12" s="23">
        <v>2030</v>
      </c>
      <c r="B12" s="35">
        <f t="shared" si="2"/>
        <v>12416</v>
      </c>
      <c r="C12" s="36">
        <f t="shared" si="3"/>
        <v>7596</v>
      </c>
      <c r="D12" s="36">
        <f t="shared" si="3"/>
        <v>10104.800000000001</v>
      </c>
      <c r="E12" s="26"/>
      <c r="F12" s="40">
        <f>Mais!F12</f>
        <v>1552</v>
      </c>
      <c r="G12" s="40">
        <f>Mais!G12</f>
        <v>2924</v>
      </c>
      <c r="H12" s="40">
        <f>Mais!H12</f>
        <v>1372</v>
      </c>
      <c r="I12" s="26"/>
      <c r="J12" s="42">
        <f t="shared" si="0"/>
        <v>949.5</v>
      </c>
      <c r="K12" s="42">
        <f t="shared" si="1"/>
        <v>1263.0999999999999</v>
      </c>
      <c r="L12" s="30"/>
      <c r="M12" s="44">
        <f t="shared" si="7"/>
        <v>398</v>
      </c>
      <c r="N12" s="44">
        <f t="shared" si="7"/>
        <v>834</v>
      </c>
      <c r="O12" s="44">
        <f t="shared" si="7"/>
        <v>772.5</v>
      </c>
      <c r="P12" s="29"/>
      <c r="Q12" s="81">
        <f t="shared" si="6"/>
        <v>4</v>
      </c>
      <c r="R12" s="81">
        <f t="shared" si="6"/>
        <v>8</v>
      </c>
      <c r="S12" s="29"/>
      <c r="T12" s="13">
        <f>(Q12*'Input en resultaat'!G$23+(Graan!R12*'Input en resultaat'!H$23))</f>
        <v>2480</v>
      </c>
      <c r="U12" s="14">
        <v>2.35</v>
      </c>
      <c r="V12" s="112">
        <f t="shared" si="4"/>
        <v>0</v>
      </c>
      <c r="W12" s="15">
        <f>1.4*(Q12+R12)*'Input en resultaat'!G$25</f>
        <v>5.5999999999999988</v>
      </c>
      <c r="X12" s="16">
        <f t="shared" si="5"/>
        <v>313.59999999999991</v>
      </c>
      <c r="Y12" s="17">
        <f>'Input en resultaat'!G$30+'Input en resultaat'!G$31</f>
        <v>474</v>
      </c>
    </row>
    <row r="13" spans="1:48" x14ac:dyDescent="0.3">
      <c r="A13" s="23">
        <v>2031</v>
      </c>
      <c r="B13" s="35">
        <f t="shared" si="2"/>
        <v>13968</v>
      </c>
      <c r="C13" s="36">
        <f t="shared" si="3"/>
        <v>8545.5</v>
      </c>
      <c r="D13" s="36">
        <f t="shared" si="3"/>
        <v>11367.900000000001</v>
      </c>
      <c r="E13" s="26"/>
      <c r="F13" s="40">
        <f>Mais!F13</f>
        <v>1552</v>
      </c>
      <c r="G13" s="40">
        <f>Mais!G13</f>
        <v>2924</v>
      </c>
      <c r="H13" s="40">
        <f>Mais!H13</f>
        <v>1372</v>
      </c>
      <c r="I13" s="26"/>
      <c r="J13" s="42">
        <f t="shared" si="0"/>
        <v>949.5</v>
      </c>
      <c r="K13" s="42">
        <f t="shared" si="1"/>
        <v>1263.0999999999999</v>
      </c>
      <c r="L13" s="30"/>
      <c r="M13" s="44">
        <f t="shared" si="7"/>
        <v>398</v>
      </c>
      <c r="N13" s="44">
        <f t="shared" si="7"/>
        <v>834</v>
      </c>
      <c r="O13" s="44">
        <f t="shared" si="7"/>
        <v>772.5</v>
      </c>
      <c r="P13" s="29"/>
      <c r="Q13" s="81">
        <f t="shared" si="6"/>
        <v>4</v>
      </c>
      <c r="R13" s="81">
        <f t="shared" si="6"/>
        <v>8</v>
      </c>
      <c r="S13" s="29"/>
      <c r="T13" s="13">
        <f>(Q13*'Input en resultaat'!G$23+(Graan!R13*'Input en resultaat'!H$23))</f>
        <v>2480</v>
      </c>
      <c r="U13" s="14">
        <v>2.35</v>
      </c>
      <c r="V13" s="112">
        <f t="shared" si="4"/>
        <v>0</v>
      </c>
      <c r="W13" s="15">
        <f>1.4*(Q13+R13)*'Input en resultaat'!G$25</f>
        <v>5.5999999999999988</v>
      </c>
      <c r="X13" s="16">
        <f t="shared" si="5"/>
        <v>313.59999999999991</v>
      </c>
      <c r="Y13" s="17">
        <f>'Input en resultaat'!G$30+'Input en resultaat'!G$31</f>
        <v>474</v>
      </c>
    </row>
    <row r="14" spans="1:48" x14ac:dyDescent="0.3">
      <c r="A14" s="23">
        <v>2032</v>
      </c>
      <c r="B14" s="35">
        <f t="shared" si="2"/>
        <v>15520</v>
      </c>
      <c r="C14" s="36">
        <f t="shared" si="3"/>
        <v>9495</v>
      </c>
      <c r="D14" s="36">
        <f t="shared" si="3"/>
        <v>12631.000000000002</v>
      </c>
      <c r="E14" s="26"/>
      <c r="F14" s="40">
        <f>Mais!F14</f>
        <v>1552</v>
      </c>
      <c r="G14" s="40">
        <f>Mais!G14</f>
        <v>2924</v>
      </c>
      <c r="H14" s="40">
        <f>Mais!H14</f>
        <v>1372</v>
      </c>
      <c r="I14" s="26"/>
      <c r="J14" s="42">
        <f t="shared" si="0"/>
        <v>949.5</v>
      </c>
      <c r="K14" s="42">
        <f t="shared" si="1"/>
        <v>1263.0999999999999</v>
      </c>
      <c r="L14" s="30"/>
      <c r="M14" s="44">
        <f t="shared" si="7"/>
        <v>398</v>
      </c>
      <c r="N14" s="44">
        <f t="shared" si="7"/>
        <v>834</v>
      </c>
      <c r="O14" s="44">
        <f t="shared" si="7"/>
        <v>772.5</v>
      </c>
      <c r="P14" s="29"/>
      <c r="Q14" s="81">
        <f t="shared" si="6"/>
        <v>4</v>
      </c>
      <c r="R14" s="81">
        <f t="shared" si="6"/>
        <v>8</v>
      </c>
      <c r="S14" s="29"/>
      <c r="T14" s="13">
        <f>(Q14*'Input en resultaat'!G$23+(Graan!R14*'Input en resultaat'!H$23))</f>
        <v>2480</v>
      </c>
      <c r="U14" s="14">
        <v>2.35</v>
      </c>
      <c r="V14" s="112">
        <f t="shared" si="4"/>
        <v>0</v>
      </c>
      <c r="W14" s="15">
        <f>1.4*(Q14+R14)*'Input en resultaat'!G$25</f>
        <v>5.5999999999999988</v>
      </c>
      <c r="X14" s="16">
        <f t="shared" si="5"/>
        <v>313.59999999999991</v>
      </c>
      <c r="Y14" s="17">
        <f>'Input en resultaat'!G$30+'Input en resultaat'!G$31</f>
        <v>474</v>
      </c>
    </row>
    <row r="15" spans="1:48" x14ac:dyDescent="0.3">
      <c r="A15" s="23">
        <v>2033</v>
      </c>
      <c r="B15" s="35">
        <f t="shared" si="2"/>
        <v>17072</v>
      </c>
      <c r="C15" s="36">
        <f t="shared" si="3"/>
        <v>10444.5</v>
      </c>
      <c r="D15" s="36">
        <f t="shared" si="3"/>
        <v>13894.100000000002</v>
      </c>
      <c r="E15" s="26"/>
      <c r="F15" s="40">
        <f>Mais!F15</f>
        <v>1552</v>
      </c>
      <c r="G15" s="40">
        <f>Mais!G15</f>
        <v>2924</v>
      </c>
      <c r="H15" s="40">
        <f>Mais!H15</f>
        <v>1372</v>
      </c>
      <c r="I15" s="26"/>
      <c r="J15" s="42">
        <f t="shared" si="0"/>
        <v>949.5</v>
      </c>
      <c r="K15" s="42">
        <f t="shared" si="1"/>
        <v>1263.0999999999999</v>
      </c>
      <c r="L15" s="30"/>
      <c r="M15" s="44">
        <f t="shared" si="7"/>
        <v>398</v>
      </c>
      <c r="N15" s="44">
        <f t="shared" si="7"/>
        <v>834</v>
      </c>
      <c r="O15" s="44">
        <f t="shared" si="7"/>
        <v>772.5</v>
      </c>
      <c r="P15" s="29"/>
      <c r="Q15" s="81">
        <f t="shared" si="6"/>
        <v>4</v>
      </c>
      <c r="R15" s="81">
        <f t="shared" si="6"/>
        <v>8</v>
      </c>
      <c r="S15" s="29"/>
      <c r="T15" s="13">
        <f>(Q15*'Input en resultaat'!G$23+(Graan!R15*'Input en resultaat'!H$23))</f>
        <v>2480</v>
      </c>
      <c r="U15" s="14">
        <v>2.35</v>
      </c>
      <c r="V15" s="112">
        <f t="shared" si="4"/>
        <v>0</v>
      </c>
      <c r="W15" s="15">
        <f>1.4*(Q15+R15)*'Input en resultaat'!G$25</f>
        <v>5.5999999999999988</v>
      </c>
      <c r="X15" s="16">
        <f t="shared" si="5"/>
        <v>313.59999999999991</v>
      </c>
      <c r="Y15" s="17">
        <f>'Input en resultaat'!G$30+'Input en resultaat'!G$31</f>
        <v>474</v>
      </c>
    </row>
    <row r="16" spans="1:48" x14ac:dyDescent="0.3">
      <c r="A16" s="23">
        <v>2034</v>
      </c>
      <c r="B16" s="35">
        <f t="shared" si="2"/>
        <v>18624</v>
      </c>
      <c r="C16" s="36">
        <f t="shared" si="3"/>
        <v>11394</v>
      </c>
      <c r="D16" s="36">
        <f t="shared" si="3"/>
        <v>15157.200000000003</v>
      </c>
      <c r="E16" s="26"/>
      <c r="F16" s="40">
        <f>Mais!F16</f>
        <v>1552</v>
      </c>
      <c r="G16" s="40">
        <f>Mais!G16</f>
        <v>2924</v>
      </c>
      <c r="H16" s="40">
        <f>Mais!H16</f>
        <v>1372</v>
      </c>
      <c r="I16" s="26"/>
      <c r="J16" s="42">
        <f t="shared" si="0"/>
        <v>949.5</v>
      </c>
      <c r="K16" s="42">
        <f t="shared" si="1"/>
        <v>1263.0999999999999</v>
      </c>
      <c r="L16" s="30"/>
      <c r="M16" s="44">
        <f t="shared" si="7"/>
        <v>398</v>
      </c>
      <c r="N16" s="44">
        <f t="shared" si="7"/>
        <v>834</v>
      </c>
      <c r="O16" s="44">
        <f t="shared" si="7"/>
        <v>772.5</v>
      </c>
      <c r="P16" s="29"/>
      <c r="Q16" s="81">
        <f t="shared" si="6"/>
        <v>4</v>
      </c>
      <c r="R16" s="81">
        <f t="shared" si="6"/>
        <v>8</v>
      </c>
      <c r="S16" s="29"/>
      <c r="T16" s="13">
        <f>(Q16*'Input en resultaat'!G$23+(Graan!R16*'Input en resultaat'!H$23))</f>
        <v>2480</v>
      </c>
      <c r="U16" s="14">
        <v>2.35</v>
      </c>
      <c r="V16" s="112">
        <f t="shared" si="4"/>
        <v>0</v>
      </c>
      <c r="W16" s="15">
        <f>1.4*(Q16+R16)*'Input en resultaat'!G$25</f>
        <v>5.5999999999999988</v>
      </c>
      <c r="X16" s="16">
        <f t="shared" si="5"/>
        <v>313.59999999999991</v>
      </c>
      <c r="Y16" s="17">
        <f>'Input en resultaat'!G$30+'Input en resultaat'!G$31</f>
        <v>474</v>
      </c>
    </row>
    <row r="17" spans="1:25" x14ac:dyDescent="0.3">
      <c r="A17" s="23">
        <v>2035</v>
      </c>
      <c r="B17" s="35">
        <f t="shared" si="2"/>
        <v>20176</v>
      </c>
      <c r="C17" s="36">
        <f t="shared" si="3"/>
        <v>12343.5</v>
      </c>
      <c r="D17" s="36">
        <f t="shared" si="3"/>
        <v>16420.300000000003</v>
      </c>
      <c r="E17" s="26"/>
      <c r="F17" s="40">
        <f>Mais!F17</f>
        <v>1552</v>
      </c>
      <c r="G17" s="40">
        <f>Mais!G17</f>
        <v>2924</v>
      </c>
      <c r="H17" s="40">
        <f>Mais!H17</f>
        <v>1372</v>
      </c>
      <c r="I17" s="26"/>
      <c r="J17" s="42">
        <f t="shared" si="0"/>
        <v>949.5</v>
      </c>
      <c r="K17" s="42">
        <f t="shared" si="1"/>
        <v>1263.0999999999999</v>
      </c>
      <c r="L17" s="30"/>
      <c r="M17" s="44">
        <f t="shared" si="7"/>
        <v>398</v>
      </c>
      <c r="N17" s="44">
        <f t="shared" si="7"/>
        <v>834</v>
      </c>
      <c r="O17" s="44">
        <f t="shared" si="7"/>
        <v>772.5</v>
      </c>
      <c r="P17" s="29"/>
      <c r="Q17" s="81">
        <f t="shared" si="6"/>
        <v>4</v>
      </c>
      <c r="R17" s="81">
        <f t="shared" si="6"/>
        <v>8</v>
      </c>
      <c r="S17" s="29"/>
      <c r="T17" s="13">
        <f>(Q17*'Input en resultaat'!G$23+(Graan!R17*'Input en resultaat'!H$23))</f>
        <v>2480</v>
      </c>
      <c r="U17" s="14">
        <v>2.35</v>
      </c>
      <c r="V17" s="112">
        <f t="shared" si="4"/>
        <v>0</v>
      </c>
      <c r="W17" s="15">
        <f>1.4*(Q17+R17)*'Input en resultaat'!G$25</f>
        <v>5.5999999999999988</v>
      </c>
      <c r="X17" s="16">
        <f t="shared" si="5"/>
        <v>313.59999999999991</v>
      </c>
      <c r="Y17" s="17">
        <f>'Input en resultaat'!G$30+'Input en resultaat'!G$31</f>
        <v>474</v>
      </c>
    </row>
    <row r="18" spans="1:25" x14ac:dyDescent="0.3">
      <c r="A18" s="23">
        <v>2036</v>
      </c>
      <c r="B18" s="35">
        <f t="shared" si="2"/>
        <v>21728</v>
      </c>
      <c r="C18" s="36">
        <f t="shared" si="3"/>
        <v>13293</v>
      </c>
      <c r="D18" s="36">
        <f t="shared" si="3"/>
        <v>17683.400000000001</v>
      </c>
      <c r="E18" s="26"/>
      <c r="F18" s="40">
        <f>Mais!F18</f>
        <v>1552</v>
      </c>
      <c r="G18" s="40">
        <f>Mais!G18</f>
        <v>2924</v>
      </c>
      <c r="H18" s="40">
        <f>Mais!H18</f>
        <v>1372</v>
      </c>
      <c r="I18" s="26"/>
      <c r="J18" s="42">
        <f t="shared" si="0"/>
        <v>949.5</v>
      </c>
      <c r="K18" s="42">
        <f t="shared" si="1"/>
        <v>1263.0999999999999</v>
      </c>
      <c r="L18" s="30"/>
      <c r="M18" s="44">
        <f t="shared" si="7"/>
        <v>398</v>
      </c>
      <c r="N18" s="44">
        <f t="shared" si="7"/>
        <v>834</v>
      </c>
      <c r="O18" s="44">
        <f t="shared" si="7"/>
        <v>772.5</v>
      </c>
      <c r="P18" s="29"/>
      <c r="Q18" s="81">
        <f t="shared" si="6"/>
        <v>4</v>
      </c>
      <c r="R18" s="81">
        <f t="shared" si="6"/>
        <v>8</v>
      </c>
      <c r="S18" s="29"/>
      <c r="T18" s="13">
        <f>(Q18*'Input en resultaat'!G$23+(Graan!R18*'Input en resultaat'!H$23))</f>
        <v>2480</v>
      </c>
      <c r="U18" s="14">
        <v>2.35</v>
      </c>
      <c r="V18" s="112">
        <f t="shared" si="4"/>
        <v>0</v>
      </c>
      <c r="W18" s="15">
        <f>1.4*(Q18+R18)*'Input en resultaat'!G$25</f>
        <v>5.5999999999999988</v>
      </c>
      <c r="X18" s="16">
        <f t="shared" si="5"/>
        <v>313.59999999999991</v>
      </c>
      <c r="Y18" s="17">
        <f>'Input en resultaat'!G$30+'Input en resultaat'!G$31</f>
        <v>474</v>
      </c>
    </row>
    <row r="19" spans="1:25" x14ac:dyDescent="0.3">
      <c r="A19" s="23">
        <v>2037</v>
      </c>
      <c r="B19" s="35">
        <f t="shared" si="2"/>
        <v>23280</v>
      </c>
      <c r="C19" s="36">
        <f t="shared" si="3"/>
        <v>14242.5</v>
      </c>
      <c r="D19" s="36">
        <f t="shared" si="3"/>
        <v>18946.5</v>
      </c>
      <c r="E19" s="26"/>
      <c r="F19" s="40">
        <f>Mais!F19</f>
        <v>1552</v>
      </c>
      <c r="G19" s="40">
        <f>Mais!G19</f>
        <v>2924</v>
      </c>
      <c r="H19" s="40">
        <f>Mais!H19</f>
        <v>1372</v>
      </c>
      <c r="I19" s="26"/>
      <c r="J19" s="42">
        <f t="shared" si="0"/>
        <v>949.5</v>
      </c>
      <c r="K19" s="42">
        <f t="shared" si="1"/>
        <v>1263.0999999999999</v>
      </c>
      <c r="L19" s="30"/>
      <c r="M19" s="44">
        <f t="shared" si="7"/>
        <v>398</v>
      </c>
      <c r="N19" s="44">
        <f t="shared" si="7"/>
        <v>834</v>
      </c>
      <c r="O19" s="44">
        <f t="shared" si="7"/>
        <v>772.5</v>
      </c>
      <c r="P19" s="29"/>
      <c r="Q19" s="81">
        <f t="shared" si="6"/>
        <v>4</v>
      </c>
      <c r="R19" s="81">
        <f t="shared" si="6"/>
        <v>8</v>
      </c>
      <c r="S19" s="29"/>
      <c r="T19" s="13">
        <f>(Q19*'Input en resultaat'!G$23+(Graan!R19*'Input en resultaat'!H$23))</f>
        <v>2480</v>
      </c>
      <c r="U19" s="14">
        <v>2.35</v>
      </c>
      <c r="V19" s="112">
        <f t="shared" si="4"/>
        <v>0</v>
      </c>
      <c r="W19" s="15">
        <f>1.4*(Q19+R19)*'Input en resultaat'!G$25</f>
        <v>5.5999999999999988</v>
      </c>
      <c r="X19" s="16">
        <f t="shared" si="5"/>
        <v>313.59999999999991</v>
      </c>
      <c r="Y19" s="17">
        <f>'Input en resultaat'!G$30+'Input en resultaat'!G$31</f>
        <v>474</v>
      </c>
    </row>
    <row r="20" spans="1:25" x14ac:dyDescent="0.3">
      <c r="A20" s="23">
        <v>2038</v>
      </c>
      <c r="B20" s="35">
        <f t="shared" si="2"/>
        <v>24832</v>
      </c>
      <c r="C20" s="36">
        <f t="shared" si="3"/>
        <v>15192</v>
      </c>
      <c r="D20" s="36">
        <f t="shared" si="3"/>
        <v>20209.599999999999</v>
      </c>
      <c r="E20" s="26"/>
      <c r="F20" s="40">
        <f>Mais!F20</f>
        <v>1552</v>
      </c>
      <c r="G20" s="40">
        <f>Mais!G20</f>
        <v>2924</v>
      </c>
      <c r="H20" s="40">
        <f>Mais!H20</f>
        <v>1372</v>
      </c>
      <c r="I20" s="26"/>
      <c r="J20" s="42">
        <f t="shared" si="0"/>
        <v>949.5</v>
      </c>
      <c r="K20" s="42">
        <f t="shared" si="1"/>
        <v>1263.0999999999999</v>
      </c>
      <c r="L20" s="30"/>
      <c r="M20" s="44">
        <f t="shared" si="7"/>
        <v>398</v>
      </c>
      <c r="N20" s="44">
        <f t="shared" si="7"/>
        <v>834</v>
      </c>
      <c r="O20" s="44">
        <f t="shared" si="7"/>
        <v>772.5</v>
      </c>
      <c r="P20" s="29"/>
      <c r="Q20" s="81">
        <f t="shared" si="6"/>
        <v>4</v>
      </c>
      <c r="R20" s="81">
        <f t="shared" si="6"/>
        <v>8</v>
      </c>
      <c r="S20" s="29"/>
      <c r="T20" s="13">
        <f>(Q20*'Input en resultaat'!G$23+(Graan!R20*'Input en resultaat'!H$23))</f>
        <v>2480</v>
      </c>
      <c r="U20" s="14">
        <v>2.35</v>
      </c>
      <c r="V20" s="112">
        <f t="shared" si="4"/>
        <v>0</v>
      </c>
      <c r="W20" s="15">
        <f>1.4*(Q20+R20)*'Input en resultaat'!G$25</f>
        <v>5.5999999999999988</v>
      </c>
      <c r="X20" s="16">
        <f t="shared" si="5"/>
        <v>313.59999999999991</v>
      </c>
      <c r="Y20" s="17">
        <f>'Input en resultaat'!G$30+'Input en resultaat'!G$31</f>
        <v>474</v>
      </c>
    </row>
    <row r="21" spans="1:25" x14ac:dyDescent="0.3">
      <c r="A21" s="23">
        <v>2039</v>
      </c>
      <c r="B21" s="35">
        <f t="shared" si="2"/>
        <v>26384</v>
      </c>
      <c r="C21" s="36">
        <f t="shared" si="3"/>
        <v>16141.5</v>
      </c>
      <c r="D21" s="36">
        <f t="shared" si="3"/>
        <v>21472.699999999997</v>
      </c>
      <c r="E21" s="26"/>
      <c r="F21" s="40">
        <f>Mais!F21</f>
        <v>1552</v>
      </c>
      <c r="G21" s="40">
        <f>Mais!G21</f>
        <v>2924</v>
      </c>
      <c r="H21" s="40">
        <f>Mais!H21</f>
        <v>1372</v>
      </c>
      <c r="I21" s="26"/>
      <c r="J21" s="42">
        <f t="shared" si="0"/>
        <v>949.5</v>
      </c>
      <c r="K21" s="42">
        <f t="shared" si="1"/>
        <v>1263.0999999999999</v>
      </c>
      <c r="L21" s="30"/>
      <c r="M21" s="44">
        <f t="shared" si="7"/>
        <v>398</v>
      </c>
      <c r="N21" s="44">
        <f t="shared" si="7"/>
        <v>834</v>
      </c>
      <c r="O21" s="44">
        <f t="shared" si="7"/>
        <v>772.5</v>
      </c>
      <c r="P21" s="29"/>
      <c r="Q21" s="81">
        <f t="shared" si="6"/>
        <v>4</v>
      </c>
      <c r="R21" s="81">
        <f t="shared" si="6"/>
        <v>8</v>
      </c>
      <c r="S21" s="29"/>
      <c r="T21" s="13">
        <f>(Q21*'Input en resultaat'!G$23+(Graan!R21*'Input en resultaat'!H$23))</f>
        <v>2480</v>
      </c>
      <c r="U21" s="14">
        <v>2.35</v>
      </c>
      <c r="V21" s="112">
        <f t="shared" si="4"/>
        <v>0</v>
      </c>
      <c r="W21" s="15">
        <f>1.4*(Q21+R21)*'Input en resultaat'!G$25</f>
        <v>5.5999999999999988</v>
      </c>
      <c r="X21" s="16">
        <f t="shared" si="5"/>
        <v>313.59999999999991</v>
      </c>
      <c r="Y21" s="17">
        <f>'Input en resultaat'!G$30+'Input en resultaat'!G$31</f>
        <v>474</v>
      </c>
    </row>
    <row r="22" spans="1:25" x14ac:dyDescent="0.3">
      <c r="A22" s="23">
        <v>2040</v>
      </c>
      <c r="B22" s="35">
        <f t="shared" si="2"/>
        <v>27936</v>
      </c>
      <c r="C22" s="36">
        <f t="shared" ref="C22:D25" si="8">C21+J22</f>
        <v>17091</v>
      </c>
      <c r="D22" s="36">
        <f t="shared" si="8"/>
        <v>22735.799999999996</v>
      </c>
      <c r="E22" s="26"/>
      <c r="F22" s="40">
        <f>Mais!F22</f>
        <v>1552</v>
      </c>
      <c r="G22" s="40">
        <f>Mais!G22</f>
        <v>2924</v>
      </c>
      <c r="H22" s="40">
        <f>Mais!H22</f>
        <v>1372</v>
      </c>
      <c r="I22" s="26"/>
      <c r="J22" s="42">
        <f t="shared" si="0"/>
        <v>949.5</v>
      </c>
      <c r="K22" s="42">
        <f t="shared" si="1"/>
        <v>1263.0999999999999</v>
      </c>
      <c r="L22" s="30"/>
      <c r="M22" s="44">
        <f t="shared" si="7"/>
        <v>398</v>
      </c>
      <c r="N22" s="44">
        <f t="shared" si="7"/>
        <v>834</v>
      </c>
      <c r="O22" s="44">
        <f t="shared" si="7"/>
        <v>772.5</v>
      </c>
      <c r="P22" s="29"/>
      <c r="Q22" s="81">
        <f t="shared" si="6"/>
        <v>4</v>
      </c>
      <c r="R22" s="81">
        <f t="shared" si="6"/>
        <v>8</v>
      </c>
      <c r="S22" s="29"/>
      <c r="T22" s="13">
        <f>(Q22*'Input en resultaat'!G$23+(Graan!R22*'Input en resultaat'!H$23))</f>
        <v>2480</v>
      </c>
      <c r="U22" s="14">
        <v>2.35</v>
      </c>
      <c r="V22" s="112">
        <f t="shared" si="4"/>
        <v>0</v>
      </c>
      <c r="W22" s="15">
        <f>1.4*(Q22+R22)*'Input en resultaat'!G$25</f>
        <v>5.5999999999999988</v>
      </c>
      <c r="X22" s="16">
        <f t="shared" si="5"/>
        <v>313.59999999999991</v>
      </c>
      <c r="Y22" s="17">
        <f>'Input en resultaat'!G$30+'Input en resultaat'!G$31</f>
        <v>474</v>
      </c>
    </row>
    <row r="23" spans="1:25" x14ac:dyDescent="0.3">
      <c r="A23" s="23">
        <v>2041</v>
      </c>
      <c r="B23" s="35">
        <f t="shared" si="2"/>
        <v>29488</v>
      </c>
      <c r="C23" s="36">
        <f t="shared" si="8"/>
        <v>18040.5</v>
      </c>
      <c r="D23" s="36">
        <f t="shared" si="8"/>
        <v>23998.899999999994</v>
      </c>
      <c r="E23" s="26"/>
      <c r="F23" s="40">
        <f>Mais!F23</f>
        <v>1552</v>
      </c>
      <c r="G23" s="40">
        <f>Mais!G23</f>
        <v>2924</v>
      </c>
      <c r="H23" s="40">
        <f>Mais!H23</f>
        <v>1372</v>
      </c>
      <c r="I23" s="26"/>
      <c r="J23" s="42">
        <f t="shared" si="0"/>
        <v>949.5</v>
      </c>
      <c r="K23" s="42">
        <f t="shared" si="1"/>
        <v>1263.0999999999999</v>
      </c>
      <c r="L23" s="30"/>
      <c r="M23" s="44">
        <f t="shared" si="7"/>
        <v>398</v>
      </c>
      <c r="N23" s="44">
        <f t="shared" si="7"/>
        <v>834</v>
      </c>
      <c r="O23" s="44">
        <f t="shared" si="7"/>
        <v>772.5</v>
      </c>
      <c r="P23" s="29"/>
      <c r="Q23" s="81">
        <f t="shared" si="6"/>
        <v>4</v>
      </c>
      <c r="R23" s="81">
        <f t="shared" si="6"/>
        <v>8</v>
      </c>
      <c r="S23" s="29"/>
      <c r="T23" s="13">
        <f>(Q23*'Input en resultaat'!G$23+(Graan!R23*'Input en resultaat'!H$23))</f>
        <v>2480</v>
      </c>
      <c r="U23" s="14">
        <v>2.35</v>
      </c>
      <c r="V23" s="112">
        <f t="shared" si="4"/>
        <v>0</v>
      </c>
      <c r="W23" s="15">
        <f>1.4*(Q23+R23)*'Input en resultaat'!G$25</f>
        <v>5.5999999999999988</v>
      </c>
      <c r="X23" s="16">
        <f t="shared" si="5"/>
        <v>313.59999999999991</v>
      </c>
      <c r="Y23" s="17">
        <f>'Input en resultaat'!G$30+'Input en resultaat'!G$31</f>
        <v>474</v>
      </c>
    </row>
    <row r="24" spans="1:25" x14ac:dyDescent="0.3">
      <c r="A24" s="23">
        <v>2042</v>
      </c>
      <c r="B24" s="35">
        <f t="shared" si="2"/>
        <v>31040</v>
      </c>
      <c r="C24" s="36">
        <f t="shared" si="8"/>
        <v>18990</v>
      </c>
      <c r="D24" s="36">
        <f t="shared" si="8"/>
        <v>25261.999999999993</v>
      </c>
      <c r="E24" s="26"/>
      <c r="F24" s="40">
        <f>Mais!F24</f>
        <v>1552</v>
      </c>
      <c r="G24" s="40">
        <f>Mais!G24</f>
        <v>2924</v>
      </c>
      <c r="H24" s="40">
        <f>Mais!H24</f>
        <v>1372</v>
      </c>
      <c r="I24" s="26"/>
      <c r="J24" s="42">
        <f t="shared" si="0"/>
        <v>949.5</v>
      </c>
      <c r="K24" s="42">
        <f t="shared" si="1"/>
        <v>1263.0999999999999</v>
      </c>
      <c r="L24" s="30"/>
      <c r="M24" s="44">
        <f t="shared" si="7"/>
        <v>398</v>
      </c>
      <c r="N24" s="44">
        <f t="shared" si="7"/>
        <v>834</v>
      </c>
      <c r="O24" s="44">
        <f t="shared" si="7"/>
        <v>772.5</v>
      </c>
      <c r="P24" s="29"/>
      <c r="Q24" s="81">
        <f t="shared" si="6"/>
        <v>4</v>
      </c>
      <c r="R24" s="81">
        <f t="shared" si="6"/>
        <v>8</v>
      </c>
      <c r="S24" s="29"/>
      <c r="T24" s="13">
        <f>(Q24*'Input en resultaat'!G$23+(Graan!R24*'Input en resultaat'!H$23))</f>
        <v>2480</v>
      </c>
      <c r="U24" s="14">
        <v>2.35</v>
      </c>
      <c r="V24" s="112">
        <f t="shared" si="4"/>
        <v>0</v>
      </c>
      <c r="W24" s="15">
        <f>1.4*(Q24+R24)*'Input en resultaat'!G$25</f>
        <v>5.5999999999999988</v>
      </c>
      <c r="X24" s="16">
        <f t="shared" si="5"/>
        <v>313.59999999999991</v>
      </c>
      <c r="Y24" s="17">
        <f>'Input en resultaat'!G$30+'Input en resultaat'!G$31</f>
        <v>474</v>
      </c>
    </row>
    <row r="25" spans="1:25" ht="16.2" thickBot="1" x14ac:dyDescent="0.35">
      <c r="A25" s="23">
        <v>2043</v>
      </c>
      <c r="B25" s="35">
        <f t="shared" si="2"/>
        <v>32592</v>
      </c>
      <c r="C25" s="36">
        <f t="shared" si="8"/>
        <v>19939.5</v>
      </c>
      <c r="D25" s="36">
        <f t="shared" si="8"/>
        <v>26525.099999999991</v>
      </c>
      <c r="E25" s="26"/>
      <c r="F25" s="40">
        <f>Mais!F25</f>
        <v>1552</v>
      </c>
      <c r="G25" s="40">
        <f>Mais!G25</f>
        <v>2924</v>
      </c>
      <c r="H25" s="40">
        <f>Mais!H25</f>
        <v>1372</v>
      </c>
      <c r="I25" s="26"/>
      <c r="J25" s="42">
        <f t="shared" si="0"/>
        <v>949.5</v>
      </c>
      <c r="K25" s="42">
        <f t="shared" si="1"/>
        <v>1263.0999999999999</v>
      </c>
      <c r="L25" s="30"/>
      <c r="M25" s="44">
        <f t="shared" ref="M25:O25" si="9">M24</f>
        <v>398</v>
      </c>
      <c r="N25" s="44">
        <f t="shared" si="9"/>
        <v>834</v>
      </c>
      <c r="O25" s="44">
        <f t="shared" si="9"/>
        <v>772.5</v>
      </c>
      <c r="P25" s="29"/>
      <c r="Q25" s="81">
        <f t="shared" si="6"/>
        <v>4</v>
      </c>
      <c r="R25" s="81">
        <f t="shared" si="6"/>
        <v>8</v>
      </c>
      <c r="S25" s="29"/>
      <c r="T25" s="18">
        <f>(Q25*'Input en resultaat'!G$23+(Graan!R25*'Input en resultaat'!H$23))</f>
        <v>2480</v>
      </c>
      <c r="U25" s="19">
        <v>2.35</v>
      </c>
      <c r="V25" s="113">
        <f t="shared" si="4"/>
        <v>0</v>
      </c>
      <c r="W25" s="20">
        <f>1.4*(Q25+R25)*'Input en resultaat'!G$25</f>
        <v>5.5999999999999988</v>
      </c>
      <c r="X25" s="21">
        <f t="shared" si="5"/>
        <v>313.59999999999991</v>
      </c>
      <c r="Y25" s="22">
        <f>'Input en resultaat'!G$30+'Input en resultaat'!G$31</f>
        <v>474</v>
      </c>
    </row>
    <row r="26" spans="1:25" s="23" customFormat="1" x14ac:dyDescent="0.3">
      <c r="B26" s="30"/>
      <c r="D26" s="37" t="s">
        <v>78</v>
      </c>
      <c r="E26" s="31"/>
      <c r="F26" s="38">
        <f>AVERAGE(F5:F25)</f>
        <v>1552</v>
      </c>
      <c r="G26" s="31"/>
      <c r="H26" s="31"/>
      <c r="I26" s="31"/>
      <c r="J26" s="38">
        <f>AVERAGE(J5:J25)</f>
        <v>949.5</v>
      </c>
      <c r="K26" s="38">
        <f>AVERAGE(K5:K25)</f>
        <v>1263.0999999999997</v>
      </c>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pans="2:15" s="23" customFormat="1" x14ac:dyDescent="0.3"/>
    <row r="50" spans="2:15" s="23" customFormat="1" x14ac:dyDescent="0.3"/>
    <row r="51" spans="2:15" s="23" customFormat="1" x14ac:dyDescent="0.3"/>
    <row r="52" spans="2:15" s="23" customFormat="1" x14ac:dyDescent="0.3"/>
    <row r="53" spans="2:15" s="23" customFormat="1" x14ac:dyDescent="0.3"/>
    <row r="54" spans="2:15" s="23" customFormat="1" x14ac:dyDescent="0.3"/>
    <row r="55" spans="2:15" s="23" customFormat="1" x14ac:dyDescent="0.3"/>
    <row r="56" spans="2:15" s="23" customFormat="1" x14ac:dyDescent="0.3"/>
    <row r="57" spans="2:15" s="23" customFormat="1" x14ac:dyDescent="0.3"/>
    <row r="58" spans="2:15" s="23" customFormat="1" x14ac:dyDescent="0.3"/>
    <row r="59" spans="2:15" s="23" customFormat="1" x14ac:dyDescent="0.3">
      <c r="B59" s="50" t="s">
        <v>82</v>
      </c>
      <c r="C59" s="51"/>
      <c r="D59" s="51"/>
      <c r="E59" s="51"/>
      <c r="F59" s="51"/>
      <c r="G59" s="51"/>
      <c r="H59" s="52"/>
    </row>
    <row r="60" spans="2:15" s="23" customFormat="1" x14ac:dyDescent="0.3">
      <c r="B60" s="314" t="s">
        <v>83</v>
      </c>
      <c r="C60" s="315"/>
      <c r="D60" s="316" t="s">
        <v>84</v>
      </c>
      <c r="E60" s="317"/>
      <c r="F60" s="49" t="s">
        <v>85</v>
      </c>
      <c r="G60" s="49" t="s">
        <v>86</v>
      </c>
      <c r="H60" s="49" t="s">
        <v>87</v>
      </c>
      <c r="J60" s="91" t="s">
        <v>88</v>
      </c>
      <c r="K60" s="91" t="s">
        <v>89</v>
      </c>
      <c r="L60" s="326" t="s">
        <v>90</v>
      </c>
      <c r="M60" s="327"/>
      <c r="N60" s="24"/>
      <c r="O60" s="48"/>
    </row>
    <row r="61" spans="2:15" s="23" customFormat="1" x14ac:dyDescent="0.3">
      <c r="B61" s="300" t="s">
        <v>91</v>
      </c>
      <c r="C61" s="301"/>
      <c r="D61" s="302">
        <v>1</v>
      </c>
      <c r="E61" s="303"/>
      <c r="F61" s="45" t="s">
        <v>92</v>
      </c>
      <c r="G61" s="47">
        <v>95</v>
      </c>
      <c r="H61" s="47">
        <f>D61*G61</f>
        <v>95</v>
      </c>
      <c r="J61" s="92">
        <f>H61</f>
        <v>95</v>
      </c>
      <c r="K61" s="92">
        <f>J61</f>
        <v>95</v>
      </c>
      <c r="L61" s="304">
        <f>K61</f>
        <v>95</v>
      </c>
      <c r="M61" s="305"/>
      <c r="N61" s="24"/>
      <c r="O61" s="48"/>
    </row>
    <row r="62" spans="2:15" s="23" customFormat="1" x14ac:dyDescent="0.3">
      <c r="B62" s="300" t="s">
        <v>93</v>
      </c>
      <c r="C62" s="301"/>
      <c r="D62" s="302">
        <v>0</v>
      </c>
      <c r="E62" s="303"/>
      <c r="F62" s="45" t="s">
        <v>94</v>
      </c>
      <c r="G62" s="47">
        <v>185</v>
      </c>
      <c r="H62" s="47">
        <f>D62*G62</f>
        <v>0</v>
      </c>
      <c r="J62" s="92">
        <f>H62</f>
        <v>0</v>
      </c>
      <c r="K62" s="92">
        <f>J62</f>
        <v>0</v>
      </c>
      <c r="L62" s="304">
        <f>K62</f>
        <v>0</v>
      </c>
      <c r="M62" s="305"/>
      <c r="N62" s="24"/>
      <c r="O62" s="48"/>
    </row>
    <row r="63" spans="2:15" s="23" customFormat="1" x14ac:dyDescent="0.3">
      <c r="B63" s="314" t="s">
        <v>95</v>
      </c>
      <c r="C63" s="315"/>
      <c r="D63" s="316"/>
      <c r="E63" s="317"/>
      <c r="F63" s="49"/>
      <c r="G63" s="49"/>
      <c r="H63" s="49"/>
      <c r="J63" s="94"/>
      <c r="K63" s="94"/>
      <c r="L63" s="312"/>
      <c r="M63" s="305"/>
    </row>
    <row r="64" spans="2:15" s="23" customFormat="1" x14ac:dyDescent="0.3">
      <c r="B64" s="300" t="s">
        <v>127</v>
      </c>
      <c r="C64" s="301"/>
      <c r="D64" s="302">
        <v>1</v>
      </c>
      <c r="E64" s="303"/>
      <c r="F64" s="45" t="s">
        <v>94</v>
      </c>
      <c r="G64" s="47">
        <v>150</v>
      </c>
      <c r="H64" s="47">
        <f>D64*G64</f>
        <v>150</v>
      </c>
      <c r="J64" s="92">
        <f>H64</f>
        <v>150</v>
      </c>
      <c r="K64" s="92">
        <f>J64</f>
        <v>150</v>
      </c>
      <c r="L64" s="304">
        <f>K64</f>
        <v>150</v>
      </c>
      <c r="M64" s="305"/>
    </row>
    <row r="65" spans="2:13" s="23" customFormat="1" x14ac:dyDescent="0.3">
      <c r="B65" s="300" t="s">
        <v>97</v>
      </c>
      <c r="C65" s="301"/>
      <c r="D65" s="302">
        <v>170</v>
      </c>
      <c r="E65" s="303"/>
      <c r="F65" s="45" t="s">
        <v>98</v>
      </c>
      <c r="G65" s="47">
        <v>0.9</v>
      </c>
      <c r="H65" s="47">
        <f>D65*G65</f>
        <v>153</v>
      </c>
      <c r="J65" s="92">
        <f>H65</f>
        <v>153</v>
      </c>
      <c r="K65" s="92">
        <f>J65</f>
        <v>153</v>
      </c>
      <c r="L65" s="304">
        <f>K65</f>
        <v>153</v>
      </c>
      <c r="M65" s="305"/>
    </row>
    <row r="66" spans="2:13" s="23" customFormat="1" x14ac:dyDescent="0.3">
      <c r="B66" s="314" t="s">
        <v>99</v>
      </c>
      <c r="C66" s="315"/>
      <c r="D66" s="55"/>
      <c r="E66" s="55"/>
      <c r="F66" s="55"/>
      <c r="G66" s="56"/>
      <c r="H66" s="57"/>
      <c r="J66" s="94"/>
      <c r="K66" s="94"/>
      <c r="L66" s="312"/>
      <c r="M66" s="305"/>
    </row>
    <row r="67" spans="2:13" s="23" customFormat="1" x14ac:dyDescent="0.3">
      <c r="B67" s="300" t="s">
        <v>100</v>
      </c>
      <c r="C67" s="301"/>
      <c r="D67" s="302"/>
      <c r="E67" s="303"/>
      <c r="F67" s="45"/>
      <c r="G67" s="47"/>
      <c r="H67" s="47"/>
      <c r="J67" s="92">
        <f>H67</f>
        <v>0</v>
      </c>
      <c r="K67" s="92">
        <f t="shared" ref="K67:L70" si="10">J67</f>
        <v>0</v>
      </c>
      <c r="L67" s="304">
        <f t="shared" si="10"/>
        <v>0</v>
      </c>
      <c r="M67" s="305"/>
    </row>
    <row r="68" spans="2:13" s="23" customFormat="1" x14ac:dyDescent="0.3">
      <c r="B68" s="300" t="s">
        <v>101</v>
      </c>
      <c r="C68" s="301"/>
      <c r="D68" s="302"/>
      <c r="E68" s="303"/>
      <c r="F68" s="45"/>
      <c r="G68" s="47"/>
      <c r="H68" s="47"/>
      <c r="J68" s="92">
        <f>H68</f>
        <v>0</v>
      </c>
      <c r="K68" s="92">
        <f t="shared" si="10"/>
        <v>0</v>
      </c>
      <c r="L68" s="304">
        <f t="shared" si="10"/>
        <v>0</v>
      </c>
      <c r="M68" s="305"/>
    </row>
    <row r="69" spans="2:13" s="23" customFormat="1" x14ac:dyDescent="0.3">
      <c r="B69" s="300" t="s">
        <v>102</v>
      </c>
      <c r="C69" s="301"/>
      <c r="D69" s="302">
        <v>0.5</v>
      </c>
      <c r="E69" s="303"/>
      <c r="F69" s="45" t="s">
        <v>92</v>
      </c>
      <c r="G69" s="47">
        <v>200</v>
      </c>
      <c r="H69" s="47">
        <f t="shared" ref="H69:H73" si="11">D69*G69</f>
        <v>100</v>
      </c>
      <c r="J69" s="92">
        <f>H69</f>
        <v>100</v>
      </c>
      <c r="K69" s="92">
        <f t="shared" si="10"/>
        <v>100</v>
      </c>
      <c r="L69" s="304">
        <f t="shared" si="10"/>
        <v>100</v>
      </c>
      <c r="M69" s="305"/>
    </row>
    <row r="70" spans="2:13" s="23" customFormat="1" x14ac:dyDescent="0.3">
      <c r="B70" s="300" t="s">
        <v>136</v>
      </c>
      <c r="C70" s="301"/>
      <c r="D70" s="302">
        <v>27.5</v>
      </c>
      <c r="E70" s="303"/>
      <c r="F70" s="45" t="s">
        <v>104</v>
      </c>
      <c r="G70" s="47">
        <v>-3</v>
      </c>
      <c r="H70" s="47">
        <f t="shared" si="11"/>
        <v>-82.5</v>
      </c>
      <c r="J70" s="92">
        <f>H70</f>
        <v>-82.5</v>
      </c>
      <c r="K70" s="92">
        <f t="shared" si="10"/>
        <v>-82.5</v>
      </c>
      <c r="L70" s="304">
        <f t="shared" si="10"/>
        <v>-82.5</v>
      </c>
      <c r="M70" s="305"/>
    </row>
    <row r="71" spans="2:13" s="23" customFormat="1" x14ac:dyDescent="0.3">
      <c r="B71" s="300" t="s">
        <v>137</v>
      </c>
      <c r="C71" s="301"/>
      <c r="D71" s="302">
        <v>120</v>
      </c>
      <c r="E71" s="303"/>
      <c r="F71" s="45" t="s">
        <v>138</v>
      </c>
      <c r="G71" s="47">
        <v>1</v>
      </c>
      <c r="H71" s="47">
        <f t="shared" si="11"/>
        <v>120</v>
      </c>
      <c r="J71" s="92">
        <f t="shared" ref="J71:J73" si="12">H71</f>
        <v>120</v>
      </c>
      <c r="K71" s="92">
        <f t="shared" ref="K71:K73" si="13">J71</f>
        <v>120</v>
      </c>
      <c r="L71" s="304">
        <f t="shared" ref="L71:L73" si="14">K71</f>
        <v>120</v>
      </c>
      <c r="M71" s="305"/>
    </row>
    <row r="72" spans="2:13" s="23" customFormat="1" x14ac:dyDescent="0.3">
      <c r="B72" s="300" t="s">
        <v>139</v>
      </c>
      <c r="C72" s="301"/>
      <c r="D72" s="302">
        <v>90</v>
      </c>
      <c r="E72" s="303"/>
      <c r="F72" s="45" t="s">
        <v>140</v>
      </c>
      <c r="G72" s="77">
        <v>0.65</v>
      </c>
      <c r="H72" s="47">
        <f t="shared" si="11"/>
        <v>58.5</v>
      </c>
      <c r="J72" s="92">
        <f t="shared" si="12"/>
        <v>58.5</v>
      </c>
      <c r="K72" s="92">
        <f t="shared" si="13"/>
        <v>58.5</v>
      </c>
      <c r="L72" s="304">
        <f t="shared" si="14"/>
        <v>58.5</v>
      </c>
      <c r="M72" s="305"/>
    </row>
    <row r="73" spans="2:13" s="23" customFormat="1" x14ac:dyDescent="0.3">
      <c r="B73" s="321" t="s">
        <v>141</v>
      </c>
      <c r="C73" s="321"/>
      <c r="D73" s="322">
        <v>1</v>
      </c>
      <c r="E73" s="322"/>
      <c r="F73" s="45" t="s">
        <v>94</v>
      </c>
      <c r="G73" s="47">
        <v>638</v>
      </c>
      <c r="H73" s="47">
        <f t="shared" si="11"/>
        <v>638</v>
      </c>
      <c r="J73" s="92">
        <f t="shared" si="12"/>
        <v>638</v>
      </c>
      <c r="K73" s="92">
        <f t="shared" si="13"/>
        <v>638</v>
      </c>
      <c r="L73" s="304">
        <f t="shared" si="14"/>
        <v>638</v>
      </c>
      <c r="M73" s="305"/>
    </row>
    <row r="74" spans="2:13" s="23" customFormat="1" x14ac:dyDescent="0.3">
      <c r="B74" s="300" t="s">
        <v>142</v>
      </c>
      <c r="C74" s="301"/>
      <c r="D74" s="322">
        <v>130</v>
      </c>
      <c r="E74" s="322"/>
      <c r="F74" s="45" t="s">
        <v>143</v>
      </c>
      <c r="G74" s="92" t="s">
        <v>165</v>
      </c>
      <c r="H74" s="47">
        <v>0</v>
      </c>
      <c r="J74" s="92">
        <f t="shared" ref="J74" si="15">H74</f>
        <v>0</v>
      </c>
      <c r="K74" s="92">
        <f t="shared" ref="K74" si="16">J74</f>
        <v>0</v>
      </c>
      <c r="L74" s="304">
        <f t="shared" ref="L74" si="17">K74</f>
        <v>0</v>
      </c>
      <c r="M74" s="325"/>
    </row>
    <row r="75" spans="2:13" s="23" customFormat="1" x14ac:dyDescent="0.3">
      <c r="B75" s="58" t="s">
        <v>105</v>
      </c>
      <c r="C75" s="59"/>
      <c r="D75" s="60"/>
      <c r="E75" s="60"/>
      <c r="F75" s="60"/>
      <c r="G75" s="61"/>
      <c r="H75" s="62"/>
      <c r="J75" s="94"/>
      <c r="K75" s="94"/>
      <c r="L75" s="312"/>
      <c r="M75" s="305"/>
    </row>
    <row r="76" spans="2:13" s="23" customFormat="1" x14ac:dyDescent="0.3">
      <c r="B76" s="300" t="s">
        <v>144</v>
      </c>
      <c r="C76" s="301"/>
      <c r="D76" s="313">
        <v>1.5</v>
      </c>
      <c r="E76" s="303"/>
      <c r="F76" s="45" t="s">
        <v>92</v>
      </c>
      <c r="G76" s="47">
        <v>221</v>
      </c>
      <c r="H76" s="47">
        <f t="shared" ref="H76:H80" si="18">D76*G76</f>
        <v>331.5</v>
      </c>
      <c r="J76" s="92">
        <f t="shared" ref="J76:J80" si="19">H76</f>
        <v>331.5</v>
      </c>
      <c r="K76" s="92">
        <f t="shared" ref="K76:L80" si="20">J76</f>
        <v>331.5</v>
      </c>
      <c r="L76" s="304">
        <f t="shared" si="20"/>
        <v>331.5</v>
      </c>
      <c r="M76" s="305"/>
    </row>
    <row r="77" spans="2:13" s="23" customFormat="1" x14ac:dyDescent="0.3">
      <c r="B77" s="300" t="s">
        <v>108</v>
      </c>
      <c r="C77" s="301"/>
      <c r="D77" s="302">
        <v>0</v>
      </c>
      <c r="E77" s="303"/>
      <c r="F77" s="45" t="s">
        <v>109</v>
      </c>
      <c r="G77" s="47">
        <v>50</v>
      </c>
      <c r="H77" s="47">
        <f t="shared" si="18"/>
        <v>0</v>
      </c>
      <c r="J77" s="92">
        <f t="shared" si="19"/>
        <v>0</v>
      </c>
      <c r="K77" s="92">
        <f t="shared" si="20"/>
        <v>0</v>
      </c>
      <c r="L77" s="304">
        <f t="shared" si="20"/>
        <v>0</v>
      </c>
      <c r="M77" s="305"/>
    </row>
    <row r="78" spans="2:13" s="23" customFormat="1" x14ac:dyDescent="0.3">
      <c r="B78" s="300" t="s">
        <v>110</v>
      </c>
      <c r="C78" s="301"/>
      <c r="D78" s="302">
        <v>1</v>
      </c>
      <c r="E78" s="303"/>
      <c r="F78" s="45" t="s">
        <v>94</v>
      </c>
      <c r="G78" s="47">
        <v>25</v>
      </c>
      <c r="H78" s="47">
        <f t="shared" si="18"/>
        <v>25</v>
      </c>
      <c r="J78" s="92">
        <f t="shared" si="19"/>
        <v>25</v>
      </c>
      <c r="K78" s="92">
        <f t="shared" si="20"/>
        <v>25</v>
      </c>
      <c r="L78" s="304">
        <f t="shared" si="20"/>
        <v>25</v>
      </c>
      <c r="M78" s="305"/>
    </row>
    <row r="79" spans="2:13" s="23" customFormat="1" x14ac:dyDescent="0.3">
      <c r="B79" s="300" t="s">
        <v>111</v>
      </c>
      <c r="C79" s="301"/>
      <c r="D79" s="302">
        <v>1</v>
      </c>
      <c r="E79" s="303"/>
      <c r="F79" s="45" t="s">
        <v>94</v>
      </c>
      <c r="G79" s="47">
        <v>266</v>
      </c>
      <c r="H79" s="47">
        <f>D79*G79</f>
        <v>266</v>
      </c>
      <c r="J79" s="92">
        <f t="shared" si="19"/>
        <v>266</v>
      </c>
      <c r="K79" s="92">
        <f t="shared" si="20"/>
        <v>266</v>
      </c>
      <c r="L79" s="304">
        <f t="shared" si="20"/>
        <v>266</v>
      </c>
      <c r="M79" s="305"/>
    </row>
    <row r="80" spans="2:13" s="23" customFormat="1" x14ac:dyDescent="0.3">
      <c r="B80" s="300" t="s">
        <v>145</v>
      </c>
      <c r="C80" s="320"/>
      <c r="D80" s="318">
        <v>1</v>
      </c>
      <c r="E80" s="319"/>
      <c r="F80" s="82" t="s">
        <v>117</v>
      </c>
      <c r="G80" s="83">
        <v>150</v>
      </c>
      <c r="H80" s="47">
        <f t="shared" si="18"/>
        <v>150</v>
      </c>
      <c r="J80" s="92">
        <f t="shared" si="19"/>
        <v>150</v>
      </c>
      <c r="K80" s="92">
        <f t="shared" si="20"/>
        <v>150</v>
      </c>
      <c r="L80" s="304">
        <f t="shared" si="20"/>
        <v>150</v>
      </c>
      <c r="M80" s="305"/>
    </row>
    <row r="81" spans="2:13" s="23" customFormat="1" x14ac:dyDescent="0.3">
      <c r="B81" s="58" t="s">
        <v>115</v>
      </c>
      <c r="C81" s="59"/>
      <c r="D81" s="60"/>
      <c r="E81" s="60"/>
      <c r="F81" s="60"/>
      <c r="G81" s="61"/>
      <c r="H81" s="62"/>
      <c r="J81" s="92"/>
      <c r="K81" s="92"/>
      <c r="L81" s="93"/>
      <c r="M81" s="76"/>
    </row>
    <row r="82" spans="2:13" s="23" customFormat="1" x14ac:dyDescent="0.3">
      <c r="B82" s="300" t="s">
        <v>116</v>
      </c>
      <c r="C82" s="301"/>
      <c r="D82" s="302">
        <v>0</v>
      </c>
      <c r="E82" s="303"/>
      <c r="F82" s="45" t="s">
        <v>117</v>
      </c>
      <c r="G82" s="47">
        <v>150</v>
      </c>
      <c r="H82" s="47">
        <f>D82*G82</f>
        <v>0</v>
      </c>
      <c r="J82" s="92">
        <f t="shared" ref="J82" si="21">H82</f>
        <v>0</v>
      </c>
      <c r="K82" s="92">
        <f t="shared" ref="K82:L82" si="22">J82</f>
        <v>0</v>
      </c>
      <c r="L82" s="304">
        <f t="shared" si="22"/>
        <v>0</v>
      </c>
      <c r="M82" s="305"/>
    </row>
    <row r="83" spans="2:13" s="23" customFormat="1" x14ac:dyDescent="0.3">
      <c r="B83" s="63" t="s">
        <v>132</v>
      </c>
      <c r="C83" s="64"/>
      <c r="D83" s="65"/>
      <c r="E83" s="65"/>
      <c r="F83" s="65"/>
      <c r="G83" s="66"/>
      <c r="H83" s="67"/>
      <c r="J83" s="94"/>
      <c r="K83" s="94"/>
      <c r="L83" s="312"/>
      <c r="M83" s="305"/>
    </row>
    <row r="84" spans="2:13" s="23" customFormat="1" x14ac:dyDescent="0.3">
      <c r="B84" s="300" t="s">
        <v>119</v>
      </c>
      <c r="C84" s="301"/>
      <c r="D84" s="302">
        <v>0</v>
      </c>
      <c r="E84" s="303"/>
      <c r="F84" s="45" t="s">
        <v>92</v>
      </c>
      <c r="G84" s="47">
        <v>100</v>
      </c>
      <c r="H84" s="47">
        <f>D84*G84</f>
        <v>0</v>
      </c>
      <c r="J84" s="92">
        <f>H84</f>
        <v>0</v>
      </c>
      <c r="K84" s="92">
        <v>0</v>
      </c>
      <c r="L84" s="304">
        <v>0</v>
      </c>
      <c r="M84" s="305"/>
    </row>
    <row r="85" spans="2:13" s="23" customFormat="1" x14ac:dyDescent="0.3">
      <c r="B85" s="63" t="s">
        <v>133</v>
      </c>
      <c r="C85" s="64"/>
      <c r="D85" s="65"/>
      <c r="E85" s="65"/>
      <c r="F85" s="65"/>
      <c r="G85" s="66"/>
      <c r="H85" s="67"/>
      <c r="J85" s="94"/>
      <c r="K85" s="94"/>
      <c r="L85" s="312"/>
      <c r="M85" s="305"/>
    </row>
    <row r="86" spans="2:13" s="23" customFormat="1" x14ac:dyDescent="0.3">
      <c r="B86" s="300" t="s">
        <v>121</v>
      </c>
      <c r="C86" s="301"/>
      <c r="D86" s="312"/>
      <c r="E86" s="305"/>
      <c r="F86" s="33"/>
      <c r="G86" s="33"/>
      <c r="H86" s="33">
        <f>'Input en resultaat'!K7+'Input en resultaat'!M7</f>
        <v>0</v>
      </c>
      <c r="J86" s="33">
        <f>H86</f>
        <v>0</v>
      </c>
      <c r="K86" s="33">
        <f>H86</f>
        <v>0</v>
      </c>
      <c r="L86" s="302">
        <f>H86</f>
        <v>0</v>
      </c>
      <c r="M86" s="303"/>
    </row>
    <row r="87" spans="2:13" s="23" customFormat="1" x14ac:dyDescent="0.3">
      <c r="G87" s="53" t="s">
        <v>87</v>
      </c>
      <c r="H87" s="54">
        <f>SUM(H61:H86)</f>
        <v>2004.5</v>
      </c>
      <c r="J87" s="95">
        <f>SUM(J61:J86)</f>
        <v>2004.5</v>
      </c>
      <c r="K87" s="95">
        <f t="shared" ref="K87" si="23">SUM(K61:K86)</f>
        <v>2004.5</v>
      </c>
      <c r="L87" s="323">
        <f>SUM(L61:M86)</f>
        <v>2004.5</v>
      </c>
      <c r="M87" s="324"/>
    </row>
    <row r="88" spans="2:13" s="23" customFormat="1" x14ac:dyDescent="0.3"/>
    <row r="89" spans="2:13" s="23" customFormat="1" x14ac:dyDescent="0.3"/>
    <row r="90" spans="2:13" s="23" customFormat="1" x14ac:dyDescent="0.3"/>
    <row r="91" spans="2:13" s="23" customFormat="1" x14ac:dyDescent="0.3"/>
    <row r="92" spans="2:13" s="23" customFormat="1" x14ac:dyDescent="0.3"/>
    <row r="93" spans="2:13" s="23" customFormat="1" x14ac:dyDescent="0.3"/>
    <row r="94" spans="2:13" s="23" customFormat="1" x14ac:dyDescent="0.3"/>
    <row r="95" spans="2:13" s="23" customFormat="1" x14ac:dyDescent="0.3"/>
    <row r="96" spans="2:13" s="23" customFormat="1" x14ac:dyDescent="0.3">
      <c r="B96" s="23" t="s">
        <v>146</v>
      </c>
    </row>
    <row r="97" spans="2:8" s="23" customFormat="1" x14ac:dyDescent="0.3">
      <c r="B97" s="50" t="s">
        <v>82</v>
      </c>
      <c r="C97" s="51"/>
      <c r="D97" s="51"/>
      <c r="E97" s="51"/>
      <c r="F97" s="51"/>
      <c r="G97" s="51"/>
      <c r="H97" s="52"/>
    </row>
    <row r="98" spans="2:8" s="23" customFormat="1" x14ac:dyDescent="0.3">
      <c r="B98" s="314" t="s">
        <v>83</v>
      </c>
      <c r="C98" s="315"/>
      <c r="D98" s="316" t="s">
        <v>84</v>
      </c>
      <c r="E98" s="317"/>
      <c r="F98" s="49" t="s">
        <v>85</v>
      </c>
      <c r="G98" s="49" t="s">
        <v>86</v>
      </c>
      <c r="H98" s="49" t="s">
        <v>87</v>
      </c>
    </row>
    <row r="99" spans="2:8" s="23" customFormat="1" x14ac:dyDescent="0.3">
      <c r="B99" s="300" t="s">
        <v>91</v>
      </c>
      <c r="C99" s="301"/>
      <c r="D99" s="302">
        <v>1</v>
      </c>
      <c r="E99" s="303"/>
      <c r="F99" s="45" t="s">
        <v>92</v>
      </c>
      <c r="G99" s="47">
        <v>95</v>
      </c>
      <c r="H99" s="47">
        <f>D99*G99</f>
        <v>95</v>
      </c>
    </row>
    <row r="100" spans="2:8" s="23" customFormat="1" x14ac:dyDescent="0.3">
      <c r="B100" s="300" t="s">
        <v>93</v>
      </c>
      <c r="C100" s="301"/>
      <c r="D100" s="302">
        <v>0</v>
      </c>
      <c r="E100" s="303"/>
      <c r="F100" s="45" t="s">
        <v>94</v>
      </c>
      <c r="G100" s="47">
        <v>185</v>
      </c>
      <c r="H100" s="47">
        <f>D100*G100</f>
        <v>0</v>
      </c>
    </row>
    <row r="101" spans="2:8" s="23" customFormat="1" x14ac:dyDescent="0.3">
      <c r="B101" s="314" t="s">
        <v>95</v>
      </c>
      <c r="C101" s="315"/>
      <c r="D101" s="316"/>
      <c r="E101" s="317"/>
      <c r="F101" s="49"/>
      <c r="G101" s="49"/>
      <c r="H101" s="49"/>
    </row>
    <row r="102" spans="2:8" s="23" customFormat="1" x14ac:dyDescent="0.3">
      <c r="B102" s="300" t="s">
        <v>127</v>
      </c>
      <c r="C102" s="301"/>
      <c r="D102" s="302">
        <v>1</v>
      </c>
      <c r="E102" s="303"/>
      <c r="F102" s="45" t="s">
        <v>94</v>
      </c>
      <c r="G102" s="47">
        <v>150</v>
      </c>
      <c r="H102" s="47">
        <f>D102*G102</f>
        <v>150</v>
      </c>
    </row>
    <row r="103" spans="2:8" s="23" customFormat="1" x14ac:dyDescent="0.3">
      <c r="B103" s="300" t="s">
        <v>97</v>
      </c>
      <c r="C103" s="301"/>
      <c r="D103" s="302">
        <v>170</v>
      </c>
      <c r="E103" s="303"/>
      <c r="F103" s="45" t="s">
        <v>98</v>
      </c>
      <c r="G103" s="47">
        <v>0.9</v>
      </c>
      <c r="H103" s="47">
        <f>D103*G103</f>
        <v>153</v>
      </c>
    </row>
    <row r="104" spans="2:8" s="23" customFormat="1" x14ac:dyDescent="0.3">
      <c r="B104" s="314" t="s">
        <v>99</v>
      </c>
      <c r="C104" s="315"/>
      <c r="D104" s="55"/>
      <c r="E104" s="55"/>
      <c r="F104" s="55"/>
      <c r="G104" s="56"/>
      <c r="H104" s="57"/>
    </row>
    <row r="105" spans="2:8" s="23" customFormat="1" x14ac:dyDescent="0.3">
      <c r="B105" s="300" t="s">
        <v>100</v>
      </c>
      <c r="C105" s="301"/>
      <c r="D105" s="302"/>
      <c r="E105" s="303"/>
      <c r="F105" s="45"/>
      <c r="G105" s="47"/>
      <c r="H105" s="47"/>
    </row>
    <row r="106" spans="2:8" s="23" customFormat="1" x14ac:dyDescent="0.3">
      <c r="B106" s="300" t="s">
        <v>101</v>
      </c>
      <c r="C106" s="301"/>
      <c r="D106" s="302"/>
      <c r="E106" s="303"/>
      <c r="F106" s="45"/>
      <c r="G106" s="47"/>
      <c r="H106" s="47"/>
    </row>
    <row r="107" spans="2:8" s="23" customFormat="1" x14ac:dyDescent="0.3">
      <c r="B107" s="300" t="s">
        <v>102</v>
      </c>
      <c r="C107" s="301"/>
      <c r="D107" s="302">
        <v>0.5</v>
      </c>
      <c r="E107" s="303"/>
      <c r="F107" s="45" t="s">
        <v>92</v>
      </c>
      <c r="G107" s="47">
        <v>200</v>
      </c>
      <c r="H107" s="47">
        <f t="shared" ref="H107:H112" si="24">D107*G107</f>
        <v>100</v>
      </c>
    </row>
    <row r="108" spans="2:8" s="23" customFormat="1" x14ac:dyDescent="0.3">
      <c r="B108" s="300" t="s">
        <v>136</v>
      </c>
      <c r="C108" s="301"/>
      <c r="D108" s="302">
        <v>27.5</v>
      </c>
      <c r="E108" s="303"/>
      <c r="F108" s="45" t="s">
        <v>104</v>
      </c>
      <c r="G108" s="47">
        <v>-3</v>
      </c>
      <c r="H108" s="47">
        <f t="shared" si="24"/>
        <v>-82.5</v>
      </c>
    </row>
    <row r="109" spans="2:8" s="23" customFormat="1" x14ac:dyDescent="0.3">
      <c r="B109" s="300" t="s">
        <v>137</v>
      </c>
      <c r="C109" s="301"/>
      <c r="D109" s="302">
        <v>120</v>
      </c>
      <c r="E109" s="303"/>
      <c r="F109" s="45" t="s">
        <v>138</v>
      </c>
      <c r="G109" s="47">
        <v>1</v>
      </c>
      <c r="H109" s="47">
        <f t="shared" si="24"/>
        <v>120</v>
      </c>
    </row>
    <row r="110" spans="2:8" s="23" customFormat="1" x14ac:dyDescent="0.3">
      <c r="B110" s="300" t="s">
        <v>139</v>
      </c>
      <c r="C110" s="301"/>
      <c r="D110" s="302">
        <v>90</v>
      </c>
      <c r="E110" s="303"/>
      <c r="F110" s="45" t="s">
        <v>140</v>
      </c>
      <c r="G110" s="77">
        <v>0.65</v>
      </c>
      <c r="H110" s="47">
        <f t="shared" si="24"/>
        <v>58.5</v>
      </c>
    </row>
    <row r="111" spans="2:8" s="23" customFormat="1" x14ac:dyDescent="0.3">
      <c r="B111" s="321" t="s">
        <v>141</v>
      </c>
      <c r="C111" s="321"/>
      <c r="D111" s="322">
        <v>1</v>
      </c>
      <c r="E111" s="322"/>
      <c r="F111" s="45" t="s">
        <v>94</v>
      </c>
      <c r="G111" s="47">
        <v>638</v>
      </c>
      <c r="H111" s="47">
        <f t="shared" si="24"/>
        <v>638</v>
      </c>
    </row>
    <row r="112" spans="2:8" s="23" customFormat="1" x14ac:dyDescent="0.3">
      <c r="B112" s="300" t="s">
        <v>142</v>
      </c>
      <c r="C112" s="301"/>
      <c r="D112" s="322">
        <v>130</v>
      </c>
      <c r="E112" s="322"/>
      <c r="F112" s="45" t="s">
        <v>143</v>
      </c>
      <c r="G112" s="47">
        <v>0</v>
      </c>
      <c r="H112" s="47">
        <f t="shared" si="24"/>
        <v>0</v>
      </c>
    </row>
    <row r="113" spans="2:8" s="23" customFormat="1" x14ac:dyDescent="0.3">
      <c r="B113" s="58" t="s">
        <v>105</v>
      </c>
      <c r="C113" s="59"/>
      <c r="D113" s="60"/>
      <c r="E113" s="60"/>
      <c r="F113" s="60"/>
      <c r="G113" s="61"/>
      <c r="H113" s="62"/>
    </row>
    <row r="114" spans="2:8" s="23" customFormat="1" x14ac:dyDescent="0.3">
      <c r="B114" s="300" t="s">
        <v>144</v>
      </c>
      <c r="C114" s="301"/>
      <c r="D114" s="313">
        <v>1.5</v>
      </c>
      <c r="E114" s="303"/>
      <c r="F114" s="45" t="s">
        <v>92</v>
      </c>
      <c r="G114" s="47">
        <v>221</v>
      </c>
      <c r="H114" s="47">
        <f t="shared" ref="H114:H119" si="25">D114*G114</f>
        <v>331.5</v>
      </c>
    </row>
    <row r="115" spans="2:8" s="23" customFormat="1" x14ac:dyDescent="0.3">
      <c r="B115" s="300" t="s">
        <v>108</v>
      </c>
      <c r="C115" s="301"/>
      <c r="D115" s="302">
        <v>0</v>
      </c>
      <c r="E115" s="303"/>
      <c r="F115" s="45" t="s">
        <v>109</v>
      </c>
      <c r="G115" s="47">
        <v>50</v>
      </c>
      <c r="H115" s="47">
        <f t="shared" si="25"/>
        <v>0</v>
      </c>
    </row>
    <row r="116" spans="2:8" s="23" customFormat="1" x14ac:dyDescent="0.3">
      <c r="B116" s="300" t="s">
        <v>110</v>
      </c>
      <c r="C116" s="301"/>
      <c r="D116" s="302">
        <v>1</v>
      </c>
      <c r="E116" s="303"/>
      <c r="F116" s="45" t="s">
        <v>94</v>
      </c>
      <c r="G116" s="47">
        <v>25</v>
      </c>
      <c r="H116" s="47">
        <f t="shared" si="25"/>
        <v>25</v>
      </c>
    </row>
    <row r="117" spans="2:8" s="23" customFormat="1" x14ac:dyDescent="0.3">
      <c r="B117" s="300" t="s">
        <v>147</v>
      </c>
      <c r="C117" s="301"/>
      <c r="D117" s="302">
        <v>1</v>
      </c>
      <c r="E117" s="303"/>
      <c r="F117" s="45" t="s">
        <v>94</v>
      </c>
      <c r="G117" s="47">
        <v>410</v>
      </c>
      <c r="H117" s="47">
        <f t="shared" si="25"/>
        <v>410</v>
      </c>
    </row>
    <row r="118" spans="2:8" s="23" customFormat="1" x14ac:dyDescent="0.3">
      <c r="B118" s="300" t="s">
        <v>148</v>
      </c>
      <c r="C118" s="301"/>
      <c r="D118" s="318">
        <v>0.5</v>
      </c>
      <c r="E118" s="319"/>
      <c r="F118" s="82" t="s">
        <v>92</v>
      </c>
      <c r="G118" s="83">
        <v>85</v>
      </c>
      <c r="H118" s="47">
        <f t="shared" si="25"/>
        <v>42.5</v>
      </c>
    </row>
    <row r="119" spans="2:8" s="23" customFormat="1" x14ac:dyDescent="0.3">
      <c r="B119" s="300" t="s">
        <v>149</v>
      </c>
      <c r="C119" s="320"/>
      <c r="D119" s="318">
        <v>1</v>
      </c>
      <c r="E119" s="319"/>
      <c r="F119" s="82" t="s">
        <v>117</v>
      </c>
      <c r="G119" s="83">
        <v>326</v>
      </c>
      <c r="H119" s="47">
        <f t="shared" si="25"/>
        <v>326</v>
      </c>
    </row>
    <row r="120" spans="2:8" s="23" customFormat="1" x14ac:dyDescent="0.3">
      <c r="B120" s="58" t="s">
        <v>115</v>
      </c>
      <c r="C120" s="59"/>
      <c r="D120" s="60"/>
      <c r="E120" s="60"/>
      <c r="F120" s="60"/>
      <c r="G120" s="61"/>
      <c r="H120" s="62"/>
    </row>
    <row r="121" spans="2:8" s="23" customFormat="1" x14ac:dyDescent="0.3">
      <c r="B121" s="300" t="s">
        <v>116</v>
      </c>
      <c r="C121" s="301"/>
      <c r="D121" s="302">
        <v>0</v>
      </c>
      <c r="E121" s="303"/>
      <c r="F121" s="45" t="s">
        <v>117</v>
      </c>
      <c r="G121" s="47">
        <v>150</v>
      </c>
      <c r="H121" s="47">
        <f>D121*G121</f>
        <v>0</v>
      </c>
    </row>
    <row r="122" spans="2:8" s="23" customFormat="1" x14ac:dyDescent="0.3">
      <c r="B122" s="63" t="s">
        <v>132</v>
      </c>
      <c r="C122" s="64"/>
      <c r="D122" s="65"/>
      <c r="E122" s="65"/>
      <c r="F122" s="65"/>
      <c r="G122" s="66"/>
      <c r="H122" s="67"/>
    </row>
    <row r="123" spans="2:8" s="23" customFormat="1" x14ac:dyDescent="0.3">
      <c r="B123" s="300" t="s">
        <v>119</v>
      </c>
      <c r="C123" s="301"/>
      <c r="D123" s="302">
        <v>0</v>
      </c>
      <c r="E123" s="303"/>
      <c r="F123" s="45" t="s">
        <v>92</v>
      </c>
      <c r="G123" s="47">
        <v>100</v>
      </c>
      <c r="H123" s="47">
        <f>D123*G123</f>
        <v>0</v>
      </c>
    </row>
    <row r="124" spans="2:8" s="23" customFormat="1" x14ac:dyDescent="0.3">
      <c r="B124" s="63" t="s">
        <v>133</v>
      </c>
      <c r="C124" s="64"/>
      <c r="D124" s="65"/>
      <c r="E124" s="65"/>
      <c r="F124" s="65"/>
      <c r="G124" s="66"/>
      <c r="H124" s="67"/>
    </row>
    <row r="125" spans="2:8" s="23" customFormat="1" x14ac:dyDescent="0.3">
      <c r="B125" s="300" t="s">
        <v>121</v>
      </c>
      <c r="C125" s="301"/>
      <c r="D125" s="312">
        <v>1000</v>
      </c>
      <c r="E125" s="305"/>
      <c r="F125" s="33" t="s">
        <v>94</v>
      </c>
      <c r="G125" s="33">
        <v>1</v>
      </c>
      <c r="H125" s="33">
        <f>D125*G125</f>
        <v>1000</v>
      </c>
    </row>
    <row r="126" spans="2:8" s="23" customFormat="1" x14ac:dyDescent="0.3">
      <c r="G126" s="53" t="s">
        <v>87</v>
      </c>
      <c r="H126" s="54">
        <f>SUM(H99:H125)</f>
        <v>3367</v>
      </c>
    </row>
    <row r="127" spans="2:8" s="23" customFormat="1" x14ac:dyDescent="0.3"/>
    <row r="128" spans="2:8" s="23" customFormat="1" x14ac:dyDescent="0.3"/>
    <row r="129" s="23" customFormat="1" x14ac:dyDescent="0.3"/>
    <row r="130" s="23" customFormat="1" x14ac:dyDescent="0.3"/>
    <row r="131" s="23" customFormat="1" x14ac:dyDescent="0.3"/>
    <row r="132" s="23" customFormat="1" x14ac:dyDescent="0.3"/>
    <row r="133" s="23" customFormat="1" x14ac:dyDescent="0.3"/>
    <row r="134" s="23" customFormat="1" x14ac:dyDescent="0.3"/>
    <row r="135" s="23" customFormat="1" x14ac:dyDescent="0.3"/>
    <row r="136" s="23" customFormat="1" x14ac:dyDescent="0.3"/>
    <row r="137" s="23" customFormat="1" x14ac:dyDescent="0.3"/>
    <row r="138" s="23" customFormat="1" x14ac:dyDescent="0.3"/>
    <row r="139" s="23" customFormat="1" x14ac:dyDescent="0.3"/>
    <row r="140" s="23" customFormat="1" x14ac:dyDescent="0.3"/>
    <row r="141" s="23" customFormat="1" x14ac:dyDescent="0.3"/>
    <row r="142" s="23" customFormat="1" x14ac:dyDescent="0.3"/>
    <row r="143" s="23" customFormat="1" x14ac:dyDescent="0.3"/>
    <row r="144" s="23" customFormat="1" x14ac:dyDescent="0.3"/>
    <row r="145" s="23" customFormat="1" x14ac:dyDescent="0.3"/>
    <row r="146" s="23" customFormat="1" x14ac:dyDescent="0.3"/>
    <row r="147" s="23" customFormat="1" x14ac:dyDescent="0.3"/>
    <row r="148" s="23" customFormat="1" x14ac:dyDescent="0.3"/>
    <row r="149" s="23" customFormat="1" x14ac:dyDescent="0.3"/>
    <row r="150" s="23" customFormat="1" x14ac:dyDescent="0.3"/>
    <row r="151" s="23" customFormat="1" x14ac:dyDescent="0.3"/>
    <row r="152" s="23" customFormat="1" x14ac:dyDescent="0.3"/>
    <row r="153" s="23" customFormat="1" x14ac:dyDescent="0.3"/>
    <row r="154" s="23" customFormat="1" x14ac:dyDescent="0.3"/>
    <row r="155" s="23" customFormat="1" x14ac:dyDescent="0.3"/>
    <row r="156" s="23" customFormat="1" x14ac:dyDescent="0.3"/>
  </sheetData>
  <mergeCells count="127">
    <mergeCell ref="L66:M66"/>
    <mergeCell ref="B61:C61"/>
    <mergeCell ref="D61:E61"/>
    <mergeCell ref="L61:M61"/>
    <mergeCell ref="B62:C62"/>
    <mergeCell ref="D62:E62"/>
    <mergeCell ref="L62:M62"/>
    <mergeCell ref="B3:D3"/>
    <mergeCell ref="F3:H3"/>
    <mergeCell ref="J3:K3"/>
    <mergeCell ref="M3:O3"/>
    <mergeCell ref="B60:C60"/>
    <mergeCell ref="D60:E60"/>
    <mergeCell ref="L60:M60"/>
    <mergeCell ref="L87:M87"/>
    <mergeCell ref="B71:C71"/>
    <mergeCell ref="D71:E71"/>
    <mergeCell ref="B72:C72"/>
    <mergeCell ref="D72:E72"/>
    <mergeCell ref="B73:C73"/>
    <mergeCell ref="B80:C80"/>
    <mergeCell ref="D80:E80"/>
    <mergeCell ref="L80:M80"/>
    <mergeCell ref="L83:M83"/>
    <mergeCell ref="B84:C84"/>
    <mergeCell ref="D84:E84"/>
    <mergeCell ref="L84:M84"/>
    <mergeCell ref="B79:C79"/>
    <mergeCell ref="D79:E79"/>
    <mergeCell ref="L79:M79"/>
    <mergeCell ref="B74:C74"/>
    <mergeCell ref="L74:M74"/>
    <mergeCell ref="Q3:R3"/>
    <mergeCell ref="Q2:R2"/>
    <mergeCell ref="L85:M85"/>
    <mergeCell ref="B86:C86"/>
    <mergeCell ref="D86:E86"/>
    <mergeCell ref="L86:M86"/>
    <mergeCell ref="B77:C77"/>
    <mergeCell ref="D77:E77"/>
    <mergeCell ref="L77:M77"/>
    <mergeCell ref="B78:C78"/>
    <mergeCell ref="D78:E78"/>
    <mergeCell ref="L78:M78"/>
    <mergeCell ref="B70:C70"/>
    <mergeCell ref="B68:C68"/>
    <mergeCell ref="D68:E68"/>
    <mergeCell ref="L68:M68"/>
    <mergeCell ref="B69:C69"/>
    <mergeCell ref="D69:E69"/>
    <mergeCell ref="L69:M69"/>
    <mergeCell ref="B67:C67"/>
    <mergeCell ref="D67:E67"/>
    <mergeCell ref="L67:M67"/>
    <mergeCell ref="B63:C63"/>
    <mergeCell ref="D63:E63"/>
    <mergeCell ref="U4:V4"/>
    <mergeCell ref="W4:X4"/>
    <mergeCell ref="B82:C82"/>
    <mergeCell ref="D82:E82"/>
    <mergeCell ref="L82:M82"/>
    <mergeCell ref="L71:M71"/>
    <mergeCell ref="L72:M72"/>
    <mergeCell ref="L73:M73"/>
    <mergeCell ref="D70:E70"/>
    <mergeCell ref="L70:M70"/>
    <mergeCell ref="L75:M75"/>
    <mergeCell ref="B76:C76"/>
    <mergeCell ref="D76:E76"/>
    <mergeCell ref="L76:M76"/>
    <mergeCell ref="D73:E73"/>
    <mergeCell ref="D74:E74"/>
    <mergeCell ref="L63:M63"/>
    <mergeCell ref="B64:C64"/>
    <mergeCell ref="D64:E64"/>
    <mergeCell ref="L64:M64"/>
    <mergeCell ref="B65:C65"/>
    <mergeCell ref="D65:E65"/>
    <mergeCell ref="L65:M65"/>
    <mergeCell ref="B66:C66"/>
    <mergeCell ref="B101:C101"/>
    <mergeCell ref="D101:E101"/>
    <mergeCell ref="B102:C102"/>
    <mergeCell ref="D102:E102"/>
    <mergeCell ref="B103:C103"/>
    <mergeCell ref="D103:E103"/>
    <mergeCell ref="B98:C98"/>
    <mergeCell ref="D98:E98"/>
    <mergeCell ref="B99:C99"/>
    <mergeCell ref="D99:E99"/>
    <mergeCell ref="B100:C100"/>
    <mergeCell ref="D100:E100"/>
    <mergeCell ref="B107:C107"/>
    <mergeCell ref="D107:E107"/>
    <mergeCell ref="B108:C108"/>
    <mergeCell ref="D108:E108"/>
    <mergeCell ref="B109:C109"/>
    <mergeCell ref="D109:E109"/>
    <mergeCell ref="B104:C104"/>
    <mergeCell ref="B105:C105"/>
    <mergeCell ref="D105:E105"/>
    <mergeCell ref="B106:C106"/>
    <mergeCell ref="D106:E106"/>
    <mergeCell ref="B114:C114"/>
    <mergeCell ref="D114:E114"/>
    <mergeCell ref="B115:C115"/>
    <mergeCell ref="D115:E115"/>
    <mergeCell ref="B116:C116"/>
    <mergeCell ref="D116:E116"/>
    <mergeCell ref="B110:C110"/>
    <mergeCell ref="D110:E110"/>
    <mergeCell ref="B111:C111"/>
    <mergeCell ref="D111:E111"/>
    <mergeCell ref="B112:C112"/>
    <mergeCell ref="D112:E112"/>
    <mergeCell ref="B121:C121"/>
    <mergeCell ref="D121:E121"/>
    <mergeCell ref="B123:C123"/>
    <mergeCell ref="D123:E123"/>
    <mergeCell ref="B125:C125"/>
    <mergeCell ref="D125:E125"/>
    <mergeCell ref="B117:C117"/>
    <mergeCell ref="D117:E117"/>
    <mergeCell ref="B118:C118"/>
    <mergeCell ref="D118:E118"/>
    <mergeCell ref="B119:C119"/>
    <mergeCell ref="D119:E119"/>
  </mergeCells>
  <phoneticPr fontId="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D916-4681-4991-AB41-668F312665F4}">
  <sheetPr codeName="Blad6">
    <tabColor theme="5"/>
  </sheetPr>
  <dimension ref="A1:AV157"/>
  <sheetViews>
    <sheetView workbookViewId="0">
      <selection activeCell="Y2" sqref="Y2:Y25"/>
    </sheetView>
  </sheetViews>
  <sheetFormatPr defaultColWidth="11" defaultRowHeight="15.6" x14ac:dyDescent="0.3"/>
  <cols>
    <col min="1" max="1" width="5.8984375" style="23" customWidth="1"/>
    <col min="2" max="2" width="12.3984375" customWidth="1"/>
    <col min="3" max="3" width="14.09765625" customWidth="1"/>
    <col min="4" max="4" width="13.69921875" customWidth="1"/>
    <col min="5" max="5" width="2" style="23" customWidth="1"/>
    <col min="6" max="8" width="12.8984375" customWidth="1"/>
    <col min="9" max="9" width="2.19921875" style="23" customWidth="1"/>
    <col min="10" max="11" width="12.19921875" customWidth="1"/>
    <col min="12" max="12" width="2.19921875" style="23" customWidth="1"/>
    <col min="13" max="14" width="10.8984375" customWidth="1"/>
    <col min="15" max="15" width="11.3984375" customWidth="1"/>
    <col min="16" max="16" width="1.59765625" style="23" customWidth="1"/>
    <col min="17" max="18" width="9.5" style="23" customWidth="1"/>
    <col min="19" max="19" width="1.59765625" style="23" customWidth="1"/>
    <col min="20" max="25" width="11.8984375" customWidth="1"/>
    <col min="26" max="48" width="11" style="23"/>
  </cols>
  <sheetData>
    <row r="1" spans="1:48" s="23" customFormat="1" ht="16.2" thickBot="1" x14ac:dyDescent="0.35">
      <c r="A1" s="24" t="s">
        <v>56</v>
      </c>
    </row>
    <row r="2" spans="1:48" s="23" customFormat="1" ht="16.2" thickBot="1" x14ac:dyDescent="0.35">
      <c r="A2" s="24"/>
      <c r="Q2" s="329" t="s">
        <v>57</v>
      </c>
      <c r="R2" s="330"/>
      <c r="T2" s="3"/>
      <c r="U2" s="4" t="s">
        <v>58</v>
      </c>
      <c r="V2" s="84">
        <v>0</v>
      </c>
      <c r="W2" s="5" t="s">
        <v>58</v>
      </c>
      <c r="X2" s="6">
        <v>0</v>
      </c>
      <c r="Y2" s="7"/>
    </row>
    <row r="3" spans="1:48" s="1" customFormat="1" ht="16.2" thickBot="1" x14ac:dyDescent="0.35">
      <c r="A3" s="24"/>
      <c r="B3" s="296" t="s">
        <v>122</v>
      </c>
      <c r="C3" s="296"/>
      <c r="D3" s="296"/>
      <c r="E3" s="24"/>
      <c r="F3" s="299" t="s">
        <v>60</v>
      </c>
      <c r="G3" s="299"/>
      <c r="H3" s="299"/>
      <c r="I3" s="24"/>
      <c r="J3" s="297" t="s">
        <v>123</v>
      </c>
      <c r="K3" s="297"/>
      <c r="L3" s="24"/>
      <c r="M3" s="298" t="s">
        <v>124</v>
      </c>
      <c r="N3" s="298"/>
      <c r="O3" s="298"/>
      <c r="P3" s="27"/>
      <c r="Q3" s="328" t="s">
        <v>63</v>
      </c>
      <c r="R3" s="328"/>
      <c r="S3" s="27"/>
      <c r="T3" s="90" t="s">
        <v>57</v>
      </c>
      <c r="U3" s="8"/>
      <c r="V3" s="86">
        <v>0</v>
      </c>
      <c r="W3" s="9"/>
      <c r="X3" s="10">
        <v>0</v>
      </c>
      <c r="Y3" s="90" t="s">
        <v>57</v>
      </c>
      <c r="Z3" s="24"/>
      <c r="AA3" s="24"/>
      <c r="AB3" s="24"/>
      <c r="AC3" s="24"/>
      <c r="AD3" s="24"/>
      <c r="AE3" s="24"/>
      <c r="AF3" s="24"/>
      <c r="AG3" s="24"/>
      <c r="AH3" s="24"/>
      <c r="AI3" s="24"/>
      <c r="AJ3" s="24"/>
      <c r="AK3" s="24"/>
      <c r="AL3" s="24"/>
      <c r="AM3" s="24"/>
      <c r="AN3" s="24"/>
      <c r="AO3" s="24"/>
      <c r="AP3" s="24"/>
      <c r="AQ3" s="24"/>
      <c r="AR3" s="24"/>
      <c r="AS3" s="24"/>
      <c r="AT3" s="24"/>
      <c r="AU3" s="24"/>
      <c r="AV3" s="24"/>
    </row>
    <row r="4" spans="1:48" s="2" customFormat="1" ht="31.8" thickBot="1" x14ac:dyDescent="0.35">
      <c r="A4" s="25"/>
      <c r="B4" s="34" t="s">
        <v>125</v>
      </c>
      <c r="C4" s="34" t="s">
        <v>64</v>
      </c>
      <c r="D4" s="34" t="s">
        <v>65</v>
      </c>
      <c r="E4" s="25"/>
      <c r="F4" s="39" t="s">
        <v>66</v>
      </c>
      <c r="G4" s="39" t="s">
        <v>67</v>
      </c>
      <c r="H4" s="39" t="s">
        <v>68</v>
      </c>
      <c r="I4" s="25"/>
      <c r="J4" s="41" t="s">
        <v>69</v>
      </c>
      <c r="K4" s="41" t="s">
        <v>65</v>
      </c>
      <c r="L4" s="25"/>
      <c r="M4" s="43" t="s">
        <v>70</v>
      </c>
      <c r="N4" s="43" t="s">
        <v>71</v>
      </c>
      <c r="O4" s="43" t="s">
        <v>150</v>
      </c>
      <c r="P4" s="28"/>
      <c r="Q4" s="80" t="s">
        <v>134</v>
      </c>
      <c r="R4" s="80" t="s">
        <v>151</v>
      </c>
      <c r="S4" s="28"/>
      <c r="T4" s="97" t="s">
        <v>74</v>
      </c>
      <c r="U4" s="292" t="s">
        <v>75</v>
      </c>
      <c r="V4" s="293"/>
      <c r="W4" s="294" t="s">
        <v>76</v>
      </c>
      <c r="X4" s="295"/>
      <c r="Y4" s="12" t="s">
        <v>77</v>
      </c>
      <c r="Z4" s="25"/>
      <c r="AA4" s="25"/>
      <c r="AB4" s="25"/>
      <c r="AC4" s="25"/>
      <c r="AD4" s="25"/>
      <c r="AE4" s="25"/>
      <c r="AF4" s="25"/>
      <c r="AG4" s="25"/>
      <c r="AH4" s="25"/>
      <c r="AI4" s="25"/>
      <c r="AJ4" s="25"/>
      <c r="AK4" s="25"/>
      <c r="AL4" s="25"/>
      <c r="AM4" s="25"/>
      <c r="AN4" s="25"/>
      <c r="AO4" s="25"/>
      <c r="AP4" s="25"/>
      <c r="AQ4" s="25"/>
      <c r="AR4" s="25"/>
      <c r="AS4" s="25"/>
      <c r="AT4" s="25"/>
      <c r="AU4" s="25"/>
      <c r="AV4" s="25"/>
    </row>
    <row r="5" spans="1:48" x14ac:dyDescent="0.3">
      <c r="A5" s="23">
        <v>2023</v>
      </c>
      <c r="B5" s="35">
        <f>F5</f>
        <v>1552</v>
      </c>
      <c r="C5" s="36">
        <f>J5</f>
        <v>1552</v>
      </c>
      <c r="D5" s="36">
        <f>K5</f>
        <v>1552</v>
      </c>
      <c r="E5" s="26"/>
      <c r="F5" s="40">
        <f>G5-H5</f>
        <v>1552</v>
      </c>
      <c r="G5" s="40">
        <f>T5+Y5</f>
        <v>2924</v>
      </c>
      <c r="H5" s="40">
        <f>M5+N5+O5</f>
        <v>1372</v>
      </c>
      <c r="I5" s="26"/>
      <c r="J5" s="42">
        <f t="shared" ref="J5:J25" si="0">T5+Y5-M5-N5-O5</f>
        <v>1552</v>
      </c>
      <c r="K5" s="42">
        <f t="shared" ref="K5:K25" si="1">J5+V5+X5</f>
        <v>1552</v>
      </c>
      <c r="L5" s="30"/>
      <c r="M5" s="44">
        <f>SUM(J61:J65)</f>
        <v>445</v>
      </c>
      <c r="N5" s="44">
        <f>SUM(J67:J74)</f>
        <v>427</v>
      </c>
      <c r="O5" s="44">
        <f>SUM(J76:J87)</f>
        <v>500</v>
      </c>
      <c r="P5" s="29"/>
      <c r="Q5" s="80" t="s">
        <v>45</v>
      </c>
      <c r="R5" s="80">
        <v>13</v>
      </c>
      <c r="S5" s="29"/>
      <c r="T5" s="13">
        <v>2450</v>
      </c>
      <c r="U5" s="14">
        <v>0.4</v>
      </c>
      <c r="V5" s="127">
        <f>U5*V$3*V$2</f>
        <v>0</v>
      </c>
      <c r="W5" s="88">
        <f>1.4*R5*'Input en resultaat'!I$25</f>
        <v>0</v>
      </c>
      <c r="X5" s="89">
        <f t="shared" ref="X5:X25" si="2">W5*(X$3*X$2)</f>
        <v>0</v>
      </c>
      <c r="Y5" s="17">
        <f>'Input en resultaat'!I$30+'Input en resultaat'!I$31</f>
        <v>474</v>
      </c>
    </row>
    <row r="6" spans="1:48" x14ac:dyDescent="0.3">
      <c r="A6" s="23">
        <v>2024</v>
      </c>
      <c r="B6" s="35">
        <f t="shared" ref="B6:B25" si="3">B5+F6</f>
        <v>3104</v>
      </c>
      <c r="C6" s="36">
        <f t="shared" ref="C6:D21" si="4">C5+J6</f>
        <v>3104</v>
      </c>
      <c r="D6" s="36">
        <f t="shared" si="4"/>
        <v>3104</v>
      </c>
      <c r="E6" s="26"/>
      <c r="F6" s="40">
        <f t="shared" ref="F6:F25" si="5">G6-H6</f>
        <v>1552</v>
      </c>
      <c r="G6" s="40">
        <f t="shared" ref="G6:G25" si="6">T6+Y6</f>
        <v>2924</v>
      </c>
      <c r="H6" s="40">
        <f t="shared" ref="H6:H25" si="7">M6+N6+O6</f>
        <v>1372</v>
      </c>
      <c r="I6" s="26"/>
      <c r="J6" s="42">
        <f t="shared" si="0"/>
        <v>1552</v>
      </c>
      <c r="K6" s="42">
        <f t="shared" si="1"/>
        <v>1552</v>
      </c>
      <c r="L6" s="30"/>
      <c r="M6" s="44">
        <f>SUM(K61:K65)</f>
        <v>445</v>
      </c>
      <c r="N6" s="44">
        <f>SUM(K67:K74)</f>
        <v>427</v>
      </c>
      <c r="O6" s="44">
        <f>SUM(K76:K87)</f>
        <v>500</v>
      </c>
      <c r="P6" s="29"/>
      <c r="Q6" s="80" t="s">
        <v>45</v>
      </c>
      <c r="R6" s="81">
        <v>13</v>
      </c>
      <c r="S6" s="29"/>
      <c r="T6" s="13">
        <v>2450</v>
      </c>
      <c r="U6" s="14">
        <v>1.1499999999999999</v>
      </c>
      <c r="V6" s="112">
        <f t="shared" ref="V6:V25" si="8">U6*V$3*V$2</f>
        <v>0</v>
      </c>
      <c r="W6" s="15">
        <f>1.4*R6*'Input en resultaat'!I$25</f>
        <v>0</v>
      </c>
      <c r="X6" s="16">
        <f t="shared" si="2"/>
        <v>0</v>
      </c>
      <c r="Y6" s="17">
        <f>'Input en resultaat'!I$30+'Input en resultaat'!I$31</f>
        <v>474</v>
      </c>
    </row>
    <row r="7" spans="1:48" x14ac:dyDescent="0.3">
      <c r="A7" s="23">
        <v>2025</v>
      </c>
      <c r="B7" s="35">
        <f t="shared" si="3"/>
        <v>4656</v>
      </c>
      <c r="C7" s="36">
        <f t="shared" si="4"/>
        <v>4656</v>
      </c>
      <c r="D7" s="36">
        <f t="shared" si="4"/>
        <v>4656</v>
      </c>
      <c r="E7" s="26"/>
      <c r="F7" s="40">
        <f t="shared" si="5"/>
        <v>1552</v>
      </c>
      <c r="G7" s="40">
        <f t="shared" si="6"/>
        <v>2924</v>
      </c>
      <c r="H7" s="40">
        <f t="shared" si="7"/>
        <v>1372</v>
      </c>
      <c r="I7" s="26"/>
      <c r="J7" s="42">
        <f t="shared" si="0"/>
        <v>1552</v>
      </c>
      <c r="K7" s="42">
        <f t="shared" si="1"/>
        <v>1552</v>
      </c>
      <c r="L7" s="30"/>
      <c r="M7" s="44">
        <f>SUM(L61:M65)</f>
        <v>445</v>
      </c>
      <c r="N7" s="44">
        <f>SUM(L67:M74)</f>
        <v>427</v>
      </c>
      <c r="O7" s="44">
        <f>SUM(L76:M87)</f>
        <v>500</v>
      </c>
      <c r="P7" s="29"/>
      <c r="Q7" s="80" t="s">
        <v>45</v>
      </c>
      <c r="R7" s="81">
        <v>13</v>
      </c>
      <c r="S7" s="29"/>
      <c r="T7" s="13">
        <v>2450</v>
      </c>
      <c r="U7" s="14">
        <v>1.85</v>
      </c>
      <c r="V7" s="112">
        <f t="shared" si="8"/>
        <v>0</v>
      </c>
      <c r="W7" s="15">
        <f>1.4*R7*'Input en resultaat'!I$25</f>
        <v>0</v>
      </c>
      <c r="X7" s="16">
        <f t="shared" si="2"/>
        <v>0</v>
      </c>
      <c r="Y7" s="17">
        <f>'Input en resultaat'!I$30+'Input en resultaat'!I$31</f>
        <v>474</v>
      </c>
    </row>
    <row r="8" spans="1:48" x14ac:dyDescent="0.3">
      <c r="A8" s="23">
        <v>2026</v>
      </c>
      <c r="B8" s="35">
        <f t="shared" si="3"/>
        <v>6208</v>
      </c>
      <c r="C8" s="36">
        <f t="shared" si="4"/>
        <v>6208</v>
      </c>
      <c r="D8" s="36">
        <f t="shared" si="4"/>
        <v>6208</v>
      </c>
      <c r="E8" s="26"/>
      <c r="F8" s="40">
        <f t="shared" si="5"/>
        <v>1552</v>
      </c>
      <c r="G8" s="40">
        <f t="shared" si="6"/>
        <v>2924</v>
      </c>
      <c r="H8" s="40">
        <f t="shared" si="7"/>
        <v>1372</v>
      </c>
      <c r="I8" s="26"/>
      <c r="J8" s="42">
        <f t="shared" si="0"/>
        <v>1552</v>
      </c>
      <c r="K8" s="42">
        <f t="shared" si="1"/>
        <v>1552</v>
      </c>
      <c r="L8" s="30"/>
      <c r="M8" s="44">
        <f>M7</f>
        <v>445</v>
      </c>
      <c r="N8" s="44">
        <f>N7</f>
        <v>427</v>
      </c>
      <c r="O8" s="44">
        <f>O7</f>
        <v>500</v>
      </c>
      <c r="P8" s="29"/>
      <c r="Q8" s="80" t="s">
        <v>45</v>
      </c>
      <c r="R8" s="81">
        <v>13</v>
      </c>
      <c r="S8" s="29"/>
      <c r="T8" s="13">
        <v>2450</v>
      </c>
      <c r="U8" s="14">
        <v>2.35</v>
      </c>
      <c r="V8" s="112">
        <f t="shared" si="8"/>
        <v>0</v>
      </c>
      <c r="W8" s="15">
        <f>1.4*R8*'Input en resultaat'!I$25</f>
        <v>0</v>
      </c>
      <c r="X8" s="16">
        <f t="shared" si="2"/>
        <v>0</v>
      </c>
      <c r="Y8" s="17">
        <f>'Input en resultaat'!I$30+'Input en resultaat'!I$31</f>
        <v>474</v>
      </c>
    </row>
    <row r="9" spans="1:48" x14ac:dyDescent="0.3">
      <c r="A9" s="23">
        <v>2027</v>
      </c>
      <c r="B9" s="35">
        <f t="shared" si="3"/>
        <v>7760</v>
      </c>
      <c r="C9" s="36">
        <f t="shared" si="4"/>
        <v>7760</v>
      </c>
      <c r="D9" s="36">
        <f t="shared" si="4"/>
        <v>7760</v>
      </c>
      <c r="E9" s="26"/>
      <c r="F9" s="40">
        <f t="shared" si="5"/>
        <v>1552</v>
      </c>
      <c r="G9" s="40">
        <f t="shared" si="6"/>
        <v>2924</v>
      </c>
      <c r="H9" s="40">
        <f t="shared" si="7"/>
        <v>1372</v>
      </c>
      <c r="I9" s="26"/>
      <c r="J9" s="42">
        <f t="shared" si="0"/>
        <v>1552</v>
      </c>
      <c r="K9" s="42">
        <f t="shared" si="1"/>
        <v>1552</v>
      </c>
      <c r="L9" s="30"/>
      <c r="M9" s="44">
        <f t="shared" ref="M9:O24" si="9">M8</f>
        <v>445</v>
      </c>
      <c r="N9" s="44">
        <f t="shared" si="9"/>
        <v>427</v>
      </c>
      <c r="O9" s="44">
        <f t="shared" si="9"/>
        <v>500</v>
      </c>
      <c r="P9" s="29"/>
      <c r="Q9" s="80" t="s">
        <v>45</v>
      </c>
      <c r="R9" s="81">
        <v>13</v>
      </c>
      <c r="S9" s="29"/>
      <c r="T9" s="13">
        <v>2450</v>
      </c>
      <c r="U9" s="14">
        <v>2.35</v>
      </c>
      <c r="V9" s="112">
        <f t="shared" si="8"/>
        <v>0</v>
      </c>
      <c r="W9" s="15">
        <f>1.4*R9*'Input en resultaat'!I$25</f>
        <v>0</v>
      </c>
      <c r="X9" s="16">
        <f t="shared" si="2"/>
        <v>0</v>
      </c>
      <c r="Y9" s="17">
        <f>'Input en resultaat'!I$30+'Input en resultaat'!I$31</f>
        <v>474</v>
      </c>
    </row>
    <row r="10" spans="1:48" x14ac:dyDescent="0.3">
      <c r="A10" s="23">
        <v>2028</v>
      </c>
      <c r="B10" s="35">
        <f t="shared" si="3"/>
        <v>9312</v>
      </c>
      <c r="C10" s="36">
        <f t="shared" si="4"/>
        <v>9312</v>
      </c>
      <c r="D10" s="36">
        <f t="shared" si="4"/>
        <v>9312</v>
      </c>
      <c r="E10" s="26"/>
      <c r="F10" s="40">
        <f t="shared" si="5"/>
        <v>1552</v>
      </c>
      <c r="G10" s="40">
        <f t="shared" si="6"/>
        <v>2924</v>
      </c>
      <c r="H10" s="40">
        <f t="shared" si="7"/>
        <v>1372</v>
      </c>
      <c r="I10" s="26"/>
      <c r="J10" s="42">
        <f t="shared" si="0"/>
        <v>1552</v>
      </c>
      <c r="K10" s="42">
        <f t="shared" si="1"/>
        <v>1552</v>
      </c>
      <c r="L10" s="30"/>
      <c r="M10" s="44">
        <f t="shared" si="9"/>
        <v>445</v>
      </c>
      <c r="N10" s="44">
        <f t="shared" si="9"/>
        <v>427</v>
      </c>
      <c r="O10" s="44">
        <f t="shared" si="9"/>
        <v>500</v>
      </c>
      <c r="P10" s="29"/>
      <c r="Q10" s="80" t="s">
        <v>45</v>
      </c>
      <c r="R10" s="81">
        <v>13</v>
      </c>
      <c r="S10" s="29"/>
      <c r="T10" s="13">
        <v>2450</v>
      </c>
      <c r="U10" s="14">
        <v>2.35</v>
      </c>
      <c r="V10" s="112">
        <f t="shared" si="8"/>
        <v>0</v>
      </c>
      <c r="W10" s="15">
        <f>1.4*R10*'Input en resultaat'!I$25</f>
        <v>0</v>
      </c>
      <c r="X10" s="16">
        <f t="shared" si="2"/>
        <v>0</v>
      </c>
      <c r="Y10" s="17">
        <f>'Input en resultaat'!I$30+'Input en resultaat'!I$31</f>
        <v>474</v>
      </c>
    </row>
    <row r="11" spans="1:48" x14ac:dyDescent="0.3">
      <c r="A11" s="23">
        <v>2029</v>
      </c>
      <c r="B11" s="35">
        <f t="shared" si="3"/>
        <v>10864</v>
      </c>
      <c r="C11" s="36">
        <f t="shared" si="4"/>
        <v>10864</v>
      </c>
      <c r="D11" s="36">
        <f t="shared" si="4"/>
        <v>10864</v>
      </c>
      <c r="E11" s="26"/>
      <c r="F11" s="40">
        <f t="shared" si="5"/>
        <v>1552</v>
      </c>
      <c r="G11" s="40">
        <f t="shared" si="6"/>
        <v>2924</v>
      </c>
      <c r="H11" s="40">
        <f t="shared" si="7"/>
        <v>1372</v>
      </c>
      <c r="I11" s="26"/>
      <c r="J11" s="42">
        <f t="shared" si="0"/>
        <v>1552</v>
      </c>
      <c r="K11" s="42">
        <f t="shared" si="1"/>
        <v>1552</v>
      </c>
      <c r="L11" s="30"/>
      <c r="M11" s="44">
        <f t="shared" si="9"/>
        <v>445</v>
      </c>
      <c r="N11" s="44">
        <f t="shared" si="9"/>
        <v>427</v>
      </c>
      <c r="O11" s="44">
        <f t="shared" si="9"/>
        <v>500</v>
      </c>
      <c r="P11" s="29"/>
      <c r="Q11" s="80" t="s">
        <v>45</v>
      </c>
      <c r="R11" s="81">
        <v>13</v>
      </c>
      <c r="S11" s="29"/>
      <c r="T11" s="13">
        <v>2450</v>
      </c>
      <c r="U11" s="14">
        <v>2.35</v>
      </c>
      <c r="V11" s="112">
        <f t="shared" si="8"/>
        <v>0</v>
      </c>
      <c r="W11" s="15">
        <f>1.4*R11*'Input en resultaat'!I$25</f>
        <v>0</v>
      </c>
      <c r="X11" s="16">
        <f t="shared" si="2"/>
        <v>0</v>
      </c>
      <c r="Y11" s="17">
        <f>'Input en resultaat'!I$30+'Input en resultaat'!I$31</f>
        <v>474</v>
      </c>
    </row>
    <row r="12" spans="1:48" x14ac:dyDescent="0.3">
      <c r="A12" s="23">
        <v>2030</v>
      </c>
      <c r="B12" s="35">
        <f t="shared" si="3"/>
        <v>12416</v>
      </c>
      <c r="C12" s="36">
        <f t="shared" si="4"/>
        <v>12416</v>
      </c>
      <c r="D12" s="36">
        <f t="shared" si="4"/>
        <v>12416</v>
      </c>
      <c r="E12" s="26"/>
      <c r="F12" s="40">
        <f t="shared" si="5"/>
        <v>1552</v>
      </c>
      <c r="G12" s="40">
        <f t="shared" si="6"/>
        <v>2924</v>
      </c>
      <c r="H12" s="40">
        <f t="shared" si="7"/>
        <v>1372</v>
      </c>
      <c r="I12" s="26"/>
      <c r="J12" s="42">
        <f t="shared" si="0"/>
        <v>1552</v>
      </c>
      <c r="K12" s="42">
        <f t="shared" si="1"/>
        <v>1552</v>
      </c>
      <c r="L12" s="30"/>
      <c r="M12" s="44">
        <f t="shared" si="9"/>
        <v>445</v>
      </c>
      <c r="N12" s="44">
        <f t="shared" si="9"/>
        <v>427</v>
      </c>
      <c r="O12" s="44">
        <f t="shared" si="9"/>
        <v>500</v>
      </c>
      <c r="P12" s="29"/>
      <c r="Q12" s="80" t="s">
        <v>45</v>
      </c>
      <c r="R12" s="81">
        <v>13</v>
      </c>
      <c r="S12" s="29"/>
      <c r="T12" s="13">
        <v>2450</v>
      </c>
      <c r="U12" s="14">
        <v>2.35</v>
      </c>
      <c r="V12" s="112">
        <f t="shared" si="8"/>
        <v>0</v>
      </c>
      <c r="W12" s="15">
        <f>1.4*R12*'Input en resultaat'!I$25</f>
        <v>0</v>
      </c>
      <c r="X12" s="16">
        <f t="shared" si="2"/>
        <v>0</v>
      </c>
      <c r="Y12" s="17">
        <f>'Input en resultaat'!I$30+'Input en resultaat'!I$31</f>
        <v>474</v>
      </c>
    </row>
    <row r="13" spans="1:48" x14ac:dyDescent="0.3">
      <c r="A13" s="23">
        <v>2031</v>
      </c>
      <c r="B13" s="35">
        <f t="shared" si="3"/>
        <v>13968</v>
      </c>
      <c r="C13" s="36">
        <f t="shared" si="4"/>
        <v>13968</v>
      </c>
      <c r="D13" s="36">
        <f t="shared" si="4"/>
        <v>13968</v>
      </c>
      <c r="E13" s="26"/>
      <c r="F13" s="40">
        <f t="shared" si="5"/>
        <v>1552</v>
      </c>
      <c r="G13" s="40">
        <f t="shared" si="6"/>
        <v>2924</v>
      </c>
      <c r="H13" s="40">
        <f t="shared" si="7"/>
        <v>1372</v>
      </c>
      <c r="I13" s="26"/>
      <c r="J13" s="42">
        <f t="shared" si="0"/>
        <v>1552</v>
      </c>
      <c r="K13" s="42">
        <f t="shared" si="1"/>
        <v>1552</v>
      </c>
      <c r="L13" s="30"/>
      <c r="M13" s="44">
        <f t="shared" si="9"/>
        <v>445</v>
      </c>
      <c r="N13" s="44">
        <f t="shared" si="9"/>
        <v>427</v>
      </c>
      <c r="O13" s="44">
        <f t="shared" si="9"/>
        <v>500</v>
      </c>
      <c r="P13" s="29"/>
      <c r="Q13" s="80" t="s">
        <v>45</v>
      </c>
      <c r="R13" s="81">
        <v>13</v>
      </c>
      <c r="S13" s="29"/>
      <c r="T13" s="13">
        <v>2450</v>
      </c>
      <c r="U13" s="14">
        <v>2.35</v>
      </c>
      <c r="V13" s="112">
        <f t="shared" si="8"/>
        <v>0</v>
      </c>
      <c r="W13" s="15">
        <f>1.4*R13*'Input en resultaat'!I$25</f>
        <v>0</v>
      </c>
      <c r="X13" s="16">
        <f t="shared" si="2"/>
        <v>0</v>
      </c>
      <c r="Y13" s="17">
        <f>'Input en resultaat'!I$30+'Input en resultaat'!I$31</f>
        <v>474</v>
      </c>
    </row>
    <row r="14" spans="1:48" x14ac:dyDescent="0.3">
      <c r="A14" s="23">
        <v>2032</v>
      </c>
      <c r="B14" s="35">
        <f t="shared" si="3"/>
        <v>15520</v>
      </c>
      <c r="C14" s="36">
        <f t="shared" si="4"/>
        <v>15520</v>
      </c>
      <c r="D14" s="36">
        <f t="shared" si="4"/>
        <v>15520</v>
      </c>
      <c r="E14" s="26"/>
      <c r="F14" s="40">
        <f t="shared" si="5"/>
        <v>1552</v>
      </c>
      <c r="G14" s="40">
        <f t="shared" si="6"/>
        <v>2924</v>
      </c>
      <c r="H14" s="40">
        <f t="shared" si="7"/>
        <v>1372</v>
      </c>
      <c r="I14" s="26"/>
      <c r="J14" s="42">
        <f t="shared" si="0"/>
        <v>1552</v>
      </c>
      <c r="K14" s="42">
        <f t="shared" si="1"/>
        <v>1552</v>
      </c>
      <c r="L14" s="30"/>
      <c r="M14" s="44">
        <f t="shared" si="9"/>
        <v>445</v>
      </c>
      <c r="N14" s="44">
        <f t="shared" si="9"/>
        <v>427</v>
      </c>
      <c r="O14" s="44">
        <f t="shared" si="9"/>
        <v>500</v>
      </c>
      <c r="P14" s="29"/>
      <c r="Q14" s="80" t="s">
        <v>45</v>
      </c>
      <c r="R14" s="81">
        <v>13</v>
      </c>
      <c r="S14" s="29"/>
      <c r="T14" s="13">
        <v>2450</v>
      </c>
      <c r="U14" s="14">
        <v>2.35</v>
      </c>
      <c r="V14" s="112">
        <f t="shared" si="8"/>
        <v>0</v>
      </c>
      <c r="W14" s="15">
        <f>1.4*R14*'Input en resultaat'!I$25</f>
        <v>0</v>
      </c>
      <c r="X14" s="16">
        <f t="shared" si="2"/>
        <v>0</v>
      </c>
      <c r="Y14" s="17">
        <f>'Input en resultaat'!I$30+'Input en resultaat'!I$31</f>
        <v>474</v>
      </c>
    </row>
    <row r="15" spans="1:48" x14ac:dyDescent="0.3">
      <c r="A15" s="23">
        <v>2033</v>
      </c>
      <c r="B15" s="35">
        <f t="shared" si="3"/>
        <v>17072</v>
      </c>
      <c r="C15" s="36">
        <f t="shared" si="4"/>
        <v>17072</v>
      </c>
      <c r="D15" s="36">
        <f t="shared" si="4"/>
        <v>17072</v>
      </c>
      <c r="E15" s="26"/>
      <c r="F15" s="40">
        <f t="shared" si="5"/>
        <v>1552</v>
      </c>
      <c r="G15" s="40">
        <f t="shared" si="6"/>
        <v>2924</v>
      </c>
      <c r="H15" s="40">
        <f t="shared" si="7"/>
        <v>1372</v>
      </c>
      <c r="I15" s="26"/>
      <c r="J15" s="42">
        <f t="shared" si="0"/>
        <v>1552</v>
      </c>
      <c r="K15" s="42">
        <f t="shared" si="1"/>
        <v>1552</v>
      </c>
      <c r="L15" s="30"/>
      <c r="M15" s="44">
        <f t="shared" si="9"/>
        <v>445</v>
      </c>
      <c r="N15" s="44">
        <f t="shared" si="9"/>
        <v>427</v>
      </c>
      <c r="O15" s="44">
        <f t="shared" si="9"/>
        <v>500</v>
      </c>
      <c r="P15" s="29"/>
      <c r="Q15" s="80" t="s">
        <v>45</v>
      </c>
      <c r="R15" s="81">
        <v>13</v>
      </c>
      <c r="S15" s="29"/>
      <c r="T15" s="13">
        <v>2450</v>
      </c>
      <c r="U15" s="14">
        <v>2.35</v>
      </c>
      <c r="V15" s="112">
        <f t="shared" si="8"/>
        <v>0</v>
      </c>
      <c r="W15" s="15">
        <f>1.4*R15*'Input en resultaat'!I$25</f>
        <v>0</v>
      </c>
      <c r="X15" s="16">
        <f t="shared" si="2"/>
        <v>0</v>
      </c>
      <c r="Y15" s="17">
        <f>'Input en resultaat'!I$30+'Input en resultaat'!I$31</f>
        <v>474</v>
      </c>
    </row>
    <row r="16" spans="1:48" x14ac:dyDescent="0.3">
      <c r="A16" s="23">
        <v>2034</v>
      </c>
      <c r="B16" s="35">
        <f t="shared" si="3"/>
        <v>18624</v>
      </c>
      <c r="C16" s="36">
        <f t="shared" si="4"/>
        <v>18624</v>
      </c>
      <c r="D16" s="36">
        <f t="shared" si="4"/>
        <v>18624</v>
      </c>
      <c r="E16" s="26"/>
      <c r="F16" s="40">
        <f t="shared" si="5"/>
        <v>1552</v>
      </c>
      <c r="G16" s="40">
        <f t="shared" si="6"/>
        <v>2924</v>
      </c>
      <c r="H16" s="40">
        <f t="shared" si="7"/>
        <v>1372</v>
      </c>
      <c r="I16" s="26"/>
      <c r="J16" s="42">
        <f t="shared" si="0"/>
        <v>1552</v>
      </c>
      <c r="K16" s="42">
        <f t="shared" si="1"/>
        <v>1552</v>
      </c>
      <c r="L16" s="30"/>
      <c r="M16" s="44">
        <f t="shared" si="9"/>
        <v>445</v>
      </c>
      <c r="N16" s="44">
        <f t="shared" si="9"/>
        <v>427</v>
      </c>
      <c r="O16" s="44">
        <f t="shared" si="9"/>
        <v>500</v>
      </c>
      <c r="P16" s="29"/>
      <c r="Q16" s="80" t="s">
        <v>45</v>
      </c>
      <c r="R16" s="81">
        <v>13</v>
      </c>
      <c r="S16" s="29"/>
      <c r="T16" s="13">
        <v>2450</v>
      </c>
      <c r="U16" s="14">
        <v>2.35</v>
      </c>
      <c r="V16" s="112">
        <f t="shared" si="8"/>
        <v>0</v>
      </c>
      <c r="W16" s="15">
        <f>1.4*R16*'Input en resultaat'!I$25</f>
        <v>0</v>
      </c>
      <c r="X16" s="16">
        <f t="shared" si="2"/>
        <v>0</v>
      </c>
      <c r="Y16" s="17">
        <f>'Input en resultaat'!I$30+'Input en resultaat'!I$31</f>
        <v>474</v>
      </c>
    </row>
    <row r="17" spans="1:25" x14ac:dyDescent="0.3">
      <c r="A17" s="23">
        <v>2035</v>
      </c>
      <c r="B17" s="35">
        <f t="shared" si="3"/>
        <v>20176</v>
      </c>
      <c r="C17" s="36">
        <f t="shared" si="4"/>
        <v>20176</v>
      </c>
      <c r="D17" s="36">
        <f t="shared" si="4"/>
        <v>20176</v>
      </c>
      <c r="E17" s="26"/>
      <c r="F17" s="40">
        <f t="shared" si="5"/>
        <v>1552</v>
      </c>
      <c r="G17" s="40">
        <f t="shared" si="6"/>
        <v>2924</v>
      </c>
      <c r="H17" s="40">
        <f t="shared" si="7"/>
        <v>1372</v>
      </c>
      <c r="I17" s="26"/>
      <c r="J17" s="42">
        <f t="shared" si="0"/>
        <v>1552</v>
      </c>
      <c r="K17" s="42">
        <f t="shared" si="1"/>
        <v>1552</v>
      </c>
      <c r="L17" s="30"/>
      <c r="M17" s="44">
        <f t="shared" si="9"/>
        <v>445</v>
      </c>
      <c r="N17" s="44">
        <f t="shared" si="9"/>
        <v>427</v>
      </c>
      <c r="O17" s="44">
        <f t="shared" si="9"/>
        <v>500</v>
      </c>
      <c r="P17" s="29"/>
      <c r="Q17" s="80" t="s">
        <v>45</v>
      </c>
      <c r="R17" s="81">
        <v>13</v>
      </c>
      <c r="S17" s="29"/>
      <c r="T17" s="13">
        <v>2450</v>
      </c>
      <c r="U17" s="14">
        <v>2.35</v>
      </c>
      <c r="V17" s="112">
        <f t="shared" si="8"/>
        <v>0</v>
      </c>
      <c r="W17" s="15">
        <f>1.4*R17*'Input en resultaat'!I$25</f>
        <v>0</v>
      </c>
      <c r="X17" s="16">
        <f t="shared" si="2"/>
        <v>0</v>
      </c>
      <c r="Y17" s="17">
        <f>'Input en resultaat'!I$30+'Input en resultaat'!I$31</f>
        <v>474</v>
      </c>
    </row>
    <row r="18" spans="1:25" x14ac:dyDescent="0.3">
      <c r="A18" s="23">
        <v>2036</v>
      </c>
      <c r="B18" s="35">
        <f t="shared" si="3"/>
        <v>21728</v>
      </c>
      <c r="C18" s="36">
        <f t="shared" si="4"/>
        <v>21728</v>
      </c>
      <c r="D18" s="36">
        <f t="shared" si="4"/>
        <v>21728</v>
      </c>
      <c r="E18" s="26"/>
      <c r="F18" s="40">
        <f t="shared" si="5"/>
        <v>1552</v>
      </c>
      <c r="G18" s="40">
        <f t="shared" si="6"/>
        <v>2924</v>
      </c>
      <c r="H18" s="40">
        <f t="shared" si="7"/>
        <v>1372</v>
      </c>
      <c r="I18" s="26"/>
      <c r="J18" s="42">
        <f t="shared" si="0"/>
        <v>1552</v>
      </c>
      <c r="K18" s="42">
        <f t="shared" si="1"/>
        <v>1552</v>
      </c>
      <c r="L18" s="30"/>
      <c r="M18" s="44">
        <f t="shared" si="9"/>
        <v>445</v>
      </c>
      <c r="N18" s="44">
        <f t="shared" si="9"/>
        <v>427</v>
      </c>
      <c r="O18" s="44">
        <f t="shared" si="9"/>
        <v>500</v>
      </c>
      <c r="P18" s="29"/>
      <c r="Q18" s="80" t="s">
        <v>45</v>
      </c>
      <c r="R18" s="81">
        <v>13</v>
      </c>
      <c r="S18" s="29"/>
      <c r="T18" s="13">
        <v>2450</v>
      </c>
      <c r="U18" s="14">
        <v>2.35</v>
      </c>
      <c r="V18" s="112">
        <f t="shared" si="8"/>
        <v>0</v>
      </c>
      <c r="W18" s="15">
        <f>1.4*R18*'Input en resultaat'!I$25</f>
        <v>0</v>
      </c>
      <c r="X18" s="16">
        <f t="shared" si="2"/>
        <v>0</v>
      </c>
      <c r="Y18" s="17">
        <f>'Input en resultaat'!I$30+'Input en resultaat'!I$31</f>
        <v>474</v>
      </c>
    </row>
    <row r="19" spans="1:25" x14ac:dyDescent="0.3">
      <c r="A19" s="23">
        <v>2037</v>
      </c>
      <c r="B19" s="35">
        <f t="shared" si="3"/>
        <v>23280</v>
      </c>
      <c r="C19" s="36">
        <f t="shared" si="4"/>
        <v>23280</v>
      </c>
      <c r="D19" s="36">
        <f t="shared" si="4"/>
        <v>23280</v>
      </c>
      <c r="E19" s="26"/>
      <c r="F19" s="40">
        <f t="shared" si="5"/>
        <v>1552</v>
      </c>
      <c r="G19" s="40">
        <f t="shared" si="6"/>
        <v>2924</v>
      </c>
      <c r="H19" s="40">
        <f t="shared" si="7"/>
        <v>1372</v>
      </c>
      <c r="I19" s="26"/>
      <c r="J19" s="42">
        <f t="shared" si="0"/>
        <v>1552</v>
      </c>
      <c r="K19" s="42">
        <f t="shared" si="1"/>
        <v>1552</v>
      </c>
      <c r="L19" s="30"/>
      <c r="M19" s="44">
        <f t="shared" si="9"/>
        <v>445</v>
      </c>
      <c r="N19" s="44">
        <f t="shared" si="9"/>
        <v>427</v>
      </c>
      <c r="O19" s="44">
        <f t="shared" si="9"/>
        <v>500</v>
      </c>
      <c r="P19" s="29"/>
      <c r="Q19" s="80" t="s">
        <v>45</v>
      </c>
      <c r="R19" s="81">
        <v>13</v>
      </c>
      <c r="S19" s="29"/>
      <c r="T19" s="13">
        <v>2450</v>
      </c>
      <c r="U19" s="14">
        <v>2.35</v>
      </c>
      <c r="V19" s="112">
        <f t="shared" si="8"/>
        <v>0</v>
      </c>
      <c r="W19" s="15">
        <f>1.4*R19*'Input en resultaat'!I$25</f>
        <v>0</v>
      </c>
      <c r="X19" s="16">
        <f t="shared" si="2"/>
        <v>0</v>
      </c>
      <c r="Y19" s="17">
        <f>'Input en resultaat'!I$30+'Input en resultaat'!I$31</f>
        <v>474</v>
      </c>
    </row>
    <row r="20" spans="1:25" x14ac:dyDescent="0.3">
      <c r="A20" s="23">
        <v>2038</v>
      </c>
      <c r="B20" s="35">
        <f t="shared" si="3"/>
        <v>24832</v>
      </c>
      <c r="C20" s="36">
        <f t="shared" si="4"/>
        <v>24832</v>
      </c>
      <c r="D20" s="36">
        <f t="shared" si="4"/>
        <v>24832</v>
      </c>
      <c r="E20" s="26"/>
      <c r="F20" s="40">
        <f t="shared" si="5"/>
        <v>1552</v>
      </c>
      <c r="G20" s="40">
        <f t="shared" si="6"/>
        <v>2924</v>
      </c>
      <c r="H20" s="40">
        <f t="shared" si="7"/>
        <v>1372</v>
      </c>
      <c r="I20" s="26"/>
      <c r="J20" s="42">
        <f t="shared" si="0"/>
        <v>1552</v>
      </c>
      <c r="K20" s="42">
        <f t="shared" si="1"/>
        <v>1552</v>
      </c>
      <c r="L20" s="30"/>
      <c r="M20" s="44">
        <f t="shared" si="9"/>
        <v>445</v>
      </c>
      <c r="N20" s="44">
        <f t="shared" si="9"/>
        <v>427</v>
      </c>
      <c r="O20" s="44">
        <f t="shared" si="9"/>
        <v>500</v>
      </c>
      <c r="P20" s="29"/>
      <c r="Q20" s="80" t="s">
        <v>45</v>
      </c>
      <c r="R20" s="81">
        <v>13</v>
      </c>
      <c r="S20" s="29"/>
      <c r="T20" s="13">
        <v>2450</v>
      </c>
      <c r="U20" s="14">
        <v>2.35</v>
      </c>
      <c r="V20" s="112">
        <f t="shared" si="8"/>
        <v>0</v>
      </c>
      <c r="W20" s="15">
        <f>1.4*R20*'Input en resultaat'!I$25</f>
        <v>0</v>
      </c>
      <c r="X20" s="16">
        <f t="shared" si="2"/>
        <v>0</v>
      </c>
      <c r="Y20" s="17">
        <f>'Input en resultaat'!I$30+'Input en resultaat'!I$31</f>
        <v>474</v>
      </c>
    </row>
    <row r="21" spans="1:25" x14ac:dyDescent="0.3">
      <c r="A21" s="23">
        <v>2039</v>
      </c>
      <c r="B21" s="35">
        <f t="shared" si="3"/>
        <v>26384</v>
      </c>
      <c r="C21" s="36">
        <f t="shared" si="4"/>
        <v>26384</v>
      </c>
      <c r="D21" s="36">
        <f t="shared" si="4"/>
        <v>26384</v>
      </c>
      <c r="E21" s="26"/>
      <c r="F21" s="40">
        <f t="shared" si="5"/>
        <v>1552</v>
      </c>
      <c r="G21" s="40">
        <f t="shared" si="6"/>
        <v>2924</v>
      </c>
      <c r="H21" s="40">
        <f t="shared" si="7"/>
        <v>1372</v>
      </c>
      <c r="I21" s="26"/>
      <c r="J21" s="42">
        <f t="shared" si="0"/>
        <v>1552</v>
      </c>
      <c r="K21" s="42">
        <f t="shared" si="1"/>
        <v>1552</v>
      </c>
      <c r="L21" s="30"/>
      <c r="M21" s="44">
        <f t="shared" si="9"/>
        <v>445</v>
      </c>
      <c r="N21" s="44">
        <f t="shared" si="9"/>
        <v>427</v>
      </c>
      <c r="O21" s="44">
        <f t="shared" si="9"/>
        <v>500</v>
      </c>
      <c r="P21" s="29"/>
      <c r="Q21" s="80" t="s">
        <v>45</v>
      </c>
      <c r="R21" s="81">
        <v>13</v>
      </c>
      <c r="S21" s="29"/>
      <c r="T21" s="13">
        <v>2450</v>
      </c>
      <c r="U21" s="14">
        <v>2.35</v>
      </c>
      <c r="V21" s="112">
        <f t="shared" si="8"/>
        <v>0</v>
      </c>
      <c r="W21" s="15">
        <f>1.4*R21*'Input en resultaat'!I$25</f>
        <v>0</v>
      </c>
      <c r="X21" s="16">
        <f t="shared" si="2"/>
        <v>0</v>
      </c>
      <c r="Y21" s="17">
        <f>'Input en resultaat'!I$30+'Input en resultaat'!I$31</f>
        <v>474</v>
      </c>
    </row>
    <row r="22" spans="1:25" x14ac:dyDescent="0.3">
      <c r="A22" s="23">
        <v>2040</v>
      </c>
      <c r="B22" s="35">
        <f t="shared" si="3"/>
        <v>27936</v>
      </c>
      <c r="C22" s="36">
        <f t="shared" ref="C22:D25" si="10">C21+J22</f>
        <v>27936</v>
      </c>
      <c r="D22" s="36">
        <f t="shared" si="10"/>
        <v>27936</v>
      </c>
      <c r="E22" s="26"/>
      <c r="F22" s="40">
        <f t="shared" si="5"/>
        <v>1552</v>
      </c>
      <c r="G22" s="40">
        <f t="shared" si="6"/>
        <v>2924</v>
      </c>
      <c r="H22" s="40">
        <f t="shared" si="7"/>
        <v>1372</v>
      </c>
      <c r="I22" s="26"/>
      <c r="J22" s="42">
        <f t="shared" si="0"/>
        <v>1552</v>
      </c>
      <c r="K22" s="42">
        <f t="shared" si="1"/>
        <v>1552</v>
      </c>
      <c r="L22" s="30"/>
      <c r="M22" s="44">
        <f t="shared" si="9"/>
        <v>445</v>
      </c>
      <c r="N22" s="44">
        <f t="shared" si="9"/>
        <v>427</v>
      </c>
      <c r="O22" s="44">
        <f t="shared" si="9"/>
        <v>500</v>
      </c>
      <c r="P22" s="29"/>
      <c r="Q22" s="80" t="s">
        <v>45</v>
      </c>
      <c r="R22" s="81">
        <v>13</v>
      </c>
      <c r="S22" s="29"/>
      <c r="T22" s="13">
        <v>2450</v>
      </c>
      <c r="U22" s="14">
        <v>2.35</v>
      </c>
      <c r="V22" s="112">
        <f t="shared" si="8"/>
        <v>0</v>
      </c>
      <c r="W22" s="15">
        <f>1.4*R22*'Input en resultaat'!I$25</f>
        <v>0</v>
      </c>
      <c r="X22" s="16">
        <f t="shared" si="2"/>
        <v>0</v>
      </c>
      <c r="Y22" s="17">
        <f>'Input en resultaat'!I$30+'Input en resultaat'!I$31</f>
        <v>474</v>
      </c>
    </row>
    <row r="23" spans="1:25" x14ac:dyDescent="0.3">
      <c r="A23" s="23">
        <v>2041</v>
      </c>
      <c r="B23" s="35">
        <f t="shared" si="3"/>
        <v>29488</v>
      </c>
      <c r="C23" s="36">
        <f t="shared" si="10"/>
        <v>29488</v>
      </c>
      <c r="D23" s="36">
        <f t="shared" si="10"/>
        <v>29488</v>
      </c>
      <c r="E23" s="26"/>
      <c r="F23" s="40">
        <f t="shared" si="5"/>
        <v>1552</v>
      </c>
      <c r="G23" s="40">
        <f t="shared" si="6"/>
        <v>2924</v>
      </c>
      <c r="H23" s="40">
        <f t="shared" si="7"/>
        <v>1372</v>
      </c>
      <c r="I23" s="26"/>
      <c r="J23" s="42">
        <f t="shared" si="0"/>
        <v>1552</v>
      </c>
      <c r="K23" s="42">
        <f t="shared" si="1"/>
        <v>1552</v>
      </c>
      <c r="L23" s="30"/>
      <c r="M23" s="44">
        <f t="shared" si="9"/>
        <v>445</v>
      </c>
      <c r="N23" s="44">
        <f t="shared" si="9"/>
        <v>427</v>
      </c>
      <c r="O23" s="44">
        <f t="shared" si="9"/>
        <v>500</v>
      </c>
      <c r="P23" s="29"/>
      <c r="Q23" s="80" t="s">
        <v>45</v>
      </c>
      <c r="R23" s="81">
        <v>13</v>
      </c>
      <c r="S23" s="29"/>
      <c r="T23" s="13">
        <v>2450</v>
      </c>
      <c r="U23" s="14">
        <v>2.35</v>
      </c>
      <c r="V23" s="112">
        <f t="shared" si="8"/>
        <v>0</v>
      </c>
      <c r="W23" s="15">
        <f>1.4*R23*'Input en resultaat'!I$25</f>
        <v>0</v>
      </c>
      <c r="X23" s="16">
        <f t="shared" si="2"/>
        <v>0</v>
      </c>
      <c r="Y23" s="17">
        <f>'Input en resultaat'!I$30+'Input en resultaat'!I$31</f>
        <v>474</v>
      </c>
    </row>
    <row r="24" spans="1:25" x14ac:dyDescent="0.3">
      <c r="A24" s="23">
        <v>2042</v>
      </c>
      <c r="B24" s="35">
        <f t="shared" si="3"/>
        <v>31040</v>
      </c>
      <c r="C24" s="36">
        <f t="shared" si="10"/>
        <v>31040</v>
      </c>
      <c r="D24" s="36">
        <f t="shared" si="10"/>
        <v>31040</v>
      </c>
      <c r="E24" s="26"/>
      <c r="F24" s="40">
        <f t="shared" si="5"/>
        <v>1552</v>
      </c>
      <c r="G24" s="40">
        <f t="shared" si="6"/>
        <v>2924</v>
      </c>
      <c r="H24" s="40">
        <f t="shared" si="7"/>
        <v>1372</v>
      </c>
      <c r="I24" s="26"/>
      <c r="J24" s="42">
        <f t="shared" si="0"/>
        <v>1552</v>
      </c>
      <c r="K24" s="42">
        <f t="shared" si="1"/>
        <v>1552</v>
      </c>
      <c r="L24" s="30"/>
      <c r="M24" s="44">
        <f t="shared" si="9"/>
        <v>445</v>
      </c>
      <c r="N24" s="44">
        <f t="shared" si="9"/>
        <v>427</v>
      </c>
      <c r="O24" s="44">
        <f t="shared" si="9"/>
        <v>500</v>
      </c>
      <c r="P24" s="29"/>
      <c r="Q24" s="80" t="s">
        <v>45</v>
      </c>
      <c r="R24" s="81">
        <v>13</v>
      </c>
      <c r="S24" s="29"/>
      <c r="T24" s="13">
        <v>2450</v>
      </c>
      <c r="U24" s="14">
        <v>2.35</v>
      </c>
      <c r="V24" s="112">
        <f t="shared" si="8"/>
        <v>0</v>
      </c>
      <c r="W24" s="15">
        <f>1.4*R24*'Input en resultaat'!I$25</f>
        <v>0</v>
      </c>
      <c r="X24" s="16">
        <f t="shared" si="2"/>
        <v>0</v>
      </c>
      <c r="Y24" s="17">
        <f>'Input en resultaat'!I$30+'Input en resultaat'!I$31</f>
        <v>474</v>
      </c>
    </row>
    <row r="25" spans="1:25" ht="16.2" thickBot="1" x14ac:dyDescent="0.35">
      <c r="A25" s="23">
        <v>2043</v>
      </c>
      <c r="B25" s="35">
        <f t="shared" si="3"/>
        <v>32592</v>
      </c>
      <c r="C25" s="36">
        <f t="shared" si="10"/>
        <v>32592</v>
      </c>
      <c r="D25" s="36">
        <f t="shared" si="10"/>
        <v>32592</v>
      </c>
      <c r="E25" s="26"/>
      <c r="F25" s="40">
        <f t="shared" si="5"/>
        <v>1552</v>
      </c>
      <c r="G25" s="40">
        <f t="shared" si="6"/>
        <v>2924</v>
      </c>
      <c r="H25" s="40">
        <f t="shared" si="7"/>
        <v>1372</v>
      </c>
      <c r="I25" s="26"/>
      <c r="J25" s="42">
        <f t="shared" si="0"/>
        <v>1552</v>
      </c>
      <c r="K25" s="42">
        <f t="shared" si="1"/>
        <v>1552</v>
      </c>
      <c r="L25" s="30"/>
      <c r="M25" s="44">
        <f t="shared" ref="M25:O25" si="11">M24</f>
        <v>445</v>
      </c>
      <c r="N25" s="44">
        <f t="shared" si="11"/>
        <v>427</v>
      </c>
      <c r="O25" s="44">
        <f t="shared" si="11"/>
        <v>500</v>
      </c>
      <c r="P25" s="29"/>
      <c r="Q25" s="80" t="s">
        <v>45</v>
      </c>
      <c r="R25" s="81">
        <v>13</v>
      </c>
      <c r="S25" s="29"/>
      <c r="T25" s="18">
        <v>2450</v>
      </c>
      <c r="U25" s="19">
        <v>2.35</v>
      </c>
      <c r="V25" s="113">
        <f t="shared" si="8"/>
        <v>0</v>
      </c>
      <c r="W25" s="20">
        <f>1.4*R25*'Input en resultaat'!I$25</f>
        <v>0</v>
      </c>
      <c r="X25" s="21">
        <f t="shared" si="2"/>
        <v>0</v>
      </c>
      <c r="Y25" s="22">
        <f>'Input en resultaat'!I$30+'Input en resultaat'!I$31</f>
        <v>474</v>
      </c>
    </row>
    <row r="26" spans="1:25" s="23" customFormat="1" x14ac:dyDescent="0.3">
      <c r="B26" s="30"/>
      <c r="D26" s="37" t="s">
        <v>78</v>
      </c>
      <c r="E26" s="31"/>
      <c r="F26" s="38">
        <f>AVERAGE(F5:F25)</f>
        <v>1552</v>
      </c>
      <c r="G26" s="31"/>
      <c r="H26" s="31"/>
      <c r="I26" s="31"/>
      <c r="J26" s="38">
        <f>AVERAGE(J5:J25)</f>
        <v>1552</v>
      </c>
      <c r="K26" s="38">
        <f>AVERAGE(K5:K25)</f>
        <v>1552</v>
      </c>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pans="2:15" s="23" customFormat="1" x14ac:dyDescent="0.3"/>
    <row r="50" spans="2:15" s="23" customFormat="1" x14ac:dyDescent="0.3"/>
    <row r="51" spans="2:15" s="23" customFormat="1" x14ac:dyDescent="0.3"/>
    <row r="52" spans="2:15" s="23" customFormat="1" x14ac:dyDescent="0.3"/>
    <row r="53" spans="2:15" s="23" customFormat="1" x14ac:dyDescent="0.3"/>
    <row r="54" spans="2:15" s="23" customFormat="1" x14ac:dyDescent="0.3"/>
    <row r="55" spans="2:15" s="23" customFormat="1" x14ac:dyDescent="0.3"/>
    <row r="56" spans="2:15" s="23" customFormat="1" x14ac:dyDescent="0.3"/>
    <row r="57" spans="2:15" s="23" customFormat="1" x14ac:dyDescent="0.3"/>
    <row r="58" spans="2:15" s="23" customFormat="1" x14ac:dyDescent="0.3"/>
    <row r="59" spans="2:15" s="23" customFormat="1" x14ac:dyDescent="0.3">
      <c r="B59" s="50" t="s">
        <v>82</v>
      </c>
      <c r="C59" s="51"/>
      <c r="D59" s="51"/>
      <c r="E59" s="51"/>
      <c r="F59" s="51"/>
      <c r="G59" s="51"/>
      <c r="H59" s="52"/>
      <c r="J59" s="78"/>
      <c r="K59" s="78"/>
      <c r="L59" s="78"/>
      <c r="M59" s="78"/>
    </row>
    <row r="60" spans="2:15" s="23" customFormat="1" x14ac:dyDescent="0.3">
      <c r="B60" s="314" t="s">
        <v>83</v>
      </c>
      <c r="C60" s="315"/>
      <c r="D60" s="316" t="s">
        <v>84</v>
      </c>
      <c r="E60" s="317"/>
      <c r="F60" s="49" t="s">
        <v>85</v>
      </c>
      <c r="G60" s="49" t="s">
        <v>86</v>
      </c>
      <c r="H60" s="49" t="s">
        <v>87</v>
      </c>
      <c r="J60" s="91" t="s">
        <v>88</v>
      </c>
      <c r="K60" s="91" t="s">
        <v>89</v>
      </c>
      <c r="L60" s="326" t="s">
        <v>90</v>
      </c>
      <c r="M60" s="327"/>
      <c r="N60" s="24"/>
      <c r="O60" s="48"/>
    </row>
    <row r="61" spans="2:15" s="23" customFormat="1" x14ac:dyDescent="0.3">
      <c r="B61" s="300" t="s">
        <v>91</v>
      </c>
      <c r="C61" s="301"/>
      <c r="D61" s="302">
        <v>1</v>
      </c>
      <c r="E61" s="303"/>
      <c r="F61" s="45" t="s">
        <v>92</v>
      </c>
      <c r="G61" s="47">
        <v>95</v>
      </c>
      <c r="H61" s="47">
        <f>D61*G61</f>
        <v>95</v>
      </c>
      <c r="J61" s="92">
        <f>H61</f>
        <v>95</v>
      </c>
      <c r="K61" s="92">
        <f>J61</f>
        <v>95</v>
      </c>
      <c r="L61" s="304">
        <f>K61</f>
        <v>95</v>
      </c>
      <c r="M61" s="305"/>
      <c r="N61" s="24"/>
      <c r="O61" s="48"/>
    </row>
    <row r="62" spans="2:15" s="23" customFormat="1" x14ac:dyDescent="0.3">
      <c r="B62" s="300" t="s">
        <v>93</v>
      </c>
      <c r="C62" s="301"/>
      <c r="D62" s="302">
        <v>0</v>
      </c>
      <c r="E62" s="303"/>
      <c r="F62" s="45" t="s">
        <v>94</v>
      </c>
      <c r="G62" s="47">
        <v>185</v>
      </c>
      <c r="H62" s="47">
        <f>D62*G62</f>
        <v>0</v>
      </c>
      <c r="J62" s="92">
        <f>H62</f>
        <v>0</v>
      </c>
      <c r="K62" s="92">
        <f>J62</f>
        <v>0</v>
      </c>
      <c r="L62" s="304">
        <f>K62</f>
        <v>0</v>
      </c>
      <c r="M62" s="305"/>
      <c r="N62" s="24"/>
      <c r="O62" s="48"/>
    </row>
    <row r="63" spans="2:15" s="23" customFormat="1" x14ac:dyDescent="0.3">
      <c r="B63" s="314" t="s">
        <v>95</v>
      </c>
      <c r="C63" s="315"/>
      <c r="D63" s="316"/>
      <c r="E63" s="317"/>
      <c r="F63" s="49"/>
      <c r="G63" s="49"/>
      <c r="H63" s="49"/>
      <c r="J63" s="94"/>
      <c r="K63" s="94"/>
      <c r="L63" s="312"/>
      <c r="M63" s="305"/>
    </row>
    <row r="64" spans="2:15" s="23" customFormat="1" x14ac:dyDescent="0.3">
      <c r="B64" s="300" t="s">
        <v>152</v>
      </c>
      <c r="C64" s="301"/>
      <c r="D64" s="302">
        <v>1</v>
      </c>
      <c r="E64" s="303"/>
      <c r="F64" s="45" t="s">
        <v>94</v>
      </c>
      <c r="G64" s="47">
        <v>150</v>
      </c>
      <c r="H64" s="47">
        <f>D64*G64</f>
        <v>150</v>
      </c>
      <c r="J64" s="92">
        <f>H64</f>
        <v>150</v>
      </c>
      <c r="K64" s="92">
        <f>J64</f>
        <v>150</v>
      </c>
      <c r="L64" s="304">
        <f>K64</f>
        <v>150</v>
      </c>
      <c r="M64" s="305"/>
    </row>
    <row r="65" spans="2:13" s="23" customFormat="1" x14ac:dyDescent="0.3">
      <c r="B65" s="300" t="s">
        <v>97</v>
      </c>
      <c r="C65" s="301"/>
      <c r="D65" s="302">
        <v>1</v>
      </c>
      <c r="E65" s="303"/>
      <c r="F65" s="45" t="s">
        <v>94</v>
      </c>
      <c r="G65" s="47">
        <v>200</v>
      </c>
      <c r="H65" s="47">
        <f>D65*G65</f>
        <v>200</v>
      </c>
      <c r="J65" s="92">
        <f>H65</f>
        <v>200</v>
      </c>
      <c r="K65" s="92">
        <f>J65</f>
        <v>200</v>
      </c>
      <c r="L65" s="304">
        <f>K65</f>
        <v>200</v>
      </c>
      <c r="M65" s="305"/>
    </row>
    <row r="66" spans="2:13" s="23" customFormat="1" x14ac:dyDescent="0.3">
      <c r="B66" s="314" t="s">
        <v>99</v>
      </c>
      <c r="C66" s="315"/>
      <c r="D66" s="55"/>
      <c r="E66" s="55"/>
      <c r="F66" s="55"/>
      <c r="G66" s="56"/>
      <c r="H66" s="57"/>
      <c r="J66" s="94"/>
      <c r="K66" s="94"/>
      <c r="L66" s="312"/>
      <c r="M66" s="305"/>
    </row>
    <row r="67" spans="2:13" s="23" customFormat="1" x14ac:dyDescent="0.3">
      <c r="B67" s="300" t="s">
        <v>100</v>
      </c>
      <c r="C67" s="301"/>
      <c r="D67" s="302"/>
      <c r="E67" s="303"/>
      <c r="F67" s="45"/>
      <c r="G67" s="47"/>
      <c r="H67" s="47"/>
      <c r="J67" s="92">
        <f>H67</f>
        <v>0</v>
      </c>
      <c r="K67" s="92">
        <f t="shared" ref="K67:L70" si="12">J67</f>
        <v>0</v>
      </c>
      <c r="L67" s="304">
        <f t="shared" si="12"/>
        <v>0</v>
      </c>
      <c r="M67" s="305"/>
    </row>
    <row r="68" spans="2:13" s="23" customFormat="1" x14ac:dyDescent="0.3">
      <c r="B68" s="300" t="s">
        <v>101</v>
      </c>
      <c r="C68" s="301"/>
      <c r="D68" s="302"/>
      <c r="E68" s="303"/>
      <c r="F68" s="45"/>
      <c r="G68" s="47"/>
      <c r="H68" s="47"/>
      <c r="J68" s="92">
        <f t="shared" ref="J68:J70" si="13">H68</f>
        <v>0</v>
      </c>
      <c r="K68" s="92">
        <f t="shared" si="12"/>
        <v>0</v>
      </c>
      <c r="L68" s="304">
        <f t="shared" si="12"/>
        <v>0</v>
      </c>
      <c r="M68" s="305"/>
    </row>
    <row r="69" spans="2:13" s="23" customFormat="1" x14ac:dyDescent="0.3">
      <c r="B69" s="300" t="s">
        <v>102</v>
      </c>
      <c r="C69" s="301"/>
      <c r="D69" s="302">
        <v>0.5</v>
      </c>
      <c r="E69" s="303"/>
      <c r="F69" s="45" t="s">
        <v>92</v>
      </c>
      <c r="G69" s="47">
        <v>200</v>
      </c>
      <c r="H69" s="47">
        <f t="shared" ref="H69:H74" si="14">D69*G69</f>
        <v>100</v>
      </c>
      <c r="J69" s="92">
        <f t="shared" si="13"/>
        <v>100</v>
      </c>
      <c r="K69" s="92">
        <f t="shared" si="12"/>
        <v>100</v>
      </c>
      <c r="L69" s="304">
        <f t="shared" si="12"/>
        <v>100</v>
      </c>
      <c r="M69" s="305"/>
    </row>
    <row r="70" spans="2:13" s="23" customFormat="1" x14ac:dyDescent="0.3">
      <c r="B70" s="300" t="s">
        <v>153</v>
      </c>
      <c r="C70" s="301"/>
      <c r="D70" s="302">
        <v>27.5</v>
      </c>
      <c r="E70" s="303"/>
      <c r="F70" s="45" t="s">
        <v>104</v>
      </c>
      <c r="G70" s="47">
        <v>-3</v>
      </c>
      <c r="H70" s="47">
        <f t="shared" si="14"/>
        <v>-82.5</v>
      </c>
      <c r="J70" s="92">
        <f t="shared" si="13"/>
        <v>-82.5</v>
      </c>
      <c r="K70" s="92">
        <f t="shared" si="12"/>
        <v>-82.5</v>
      </c>
      <c r="L70" s="304">
        <f t="shared" si="12"/>
        <v>-82.5</v>
      </c>
      <c r="M70" s="305"/>
    </row>
    <row r="71" spans="2:13" s="23" customFormat="1" x14ac:dyDescent="0.3">
      <c r="B71" s="300" t="s">
        <v>137</v>
      </c>
      <c r="C71" s="301"/>
      <c r="D71" s="302">
        <v>112</v>
      </c>
      <c r="E71" s="303"/>
      <c r="F71" s="45" t="s">
        <v>138</v>
      </c>
      <c r="G71" s="47">
        <v>1</v>
      </c>
      <c r="H71" s="47">
        <f t="shared" si="14"/>
        <v>112</v>
      </c>
      <c r="J71" s="92">
        <f t="shared" ref="J71:J74" si="15">H71</f>
        <v>112</v>
      </c>
      <c r="K71" s="92">
        <f t="shared" ref="K71:K74" si="16">J71</f>
        <v>112</v>
      </c>
      <c r="L71" s="304">
        <f t="shared" ref="L71:L74" si="17">K71</f>
        <v>112</v>
      </c>
      <c r="M71" s="305"/>
    </row>
    <row r="72" spans="2:13" s="23" customFormat="1" x14ac:dyDescent="0.3">
      <c r="B72" s="300" t="s">
        <v>139</v>
      </c>
      <c r="C72" s="301"/>
      <c r="D72" s="302">
        <v>150</v>
      </c>
      <c r="E72" s="303"/>
      <c r="F72" s="45" t="s">
        <v>140</v>
      </c>
      <c r="G72" s="77">
        <v>0.65</v>
      </c>
      <c r="H72" s="47">
        <f t="shared" si="14"/>
        <v>97.5</v>
      </c>
      <c r="J72" s="92">
        <f t="shared" si="15"/>
        <v>97.5</v>
      </c>
      <c r="K72" s="92">
        <f t="shared" si="16"/>
        <v>97.5</v>
      </c>
      <c r="L72" s="304">
        <f t="shared" si="17"/>
        <v>97.5</v>
      </c>
      <c r="M72" s="305"/>
    </row>
    <row r="73" spans="2:13" s="23" customFormat="1" x14ac:dyDescent="0.3">
      <c r="B73" s="321" t="s">
        <v>141</v>
      </c>
      <c r="C73" s="321"/>
      <c r="D73" s="322">
        <v>1</v>
      </c>
      <c r="E73" s="322"/>
      <c r="F73" s="45" t="s">
        <v>94</v>
      </c>
      <c r="G73" s="47">
        <v>200</v>
      </c>
      <c r="H73" s="47">
        <f t="shared" si="14"/>
        <v>200</v>
      </c>
      <c r="J73" s="92">
        <f t="shared" si="15"/>
        <v>200</v>
      </c>
      <c r="K73" s="92">
        <f t="shared" si="16"/>
        <v>200</v>
      </c>
      <c r="L73" s="304">
        <f t="shared" si="17"/>
        <v>200</v>
      </c>
      <c r="M73" s="305"/>
    </row>
    <row r="74" spans="2:13" s="23" customFormat="1" x14ac:dyDescent="0.3">
      <c r="B74" s="300" t="s">
        <v>142</v>
      </c>
      <c r="C74" s="301"/>
      <c r="D74" s="322">
        <v>114</v>
      </c>
      <c r="E74" s="322"/>
      <c r="F74" s="45" t="s">
        <v>143</v>
      </c>
      <c r="G74" s="47">
        <v>0</v>
      </c>
      <c r="H74" s="47">
        <f t="shared" si="14"/>
        <v>0</v>
      </c>
      <c r="J74" s="92">
        <f t="shared" si="15"/>
        <v>0</v>
      </c>
      <c r="K74" s="92">
        <f t="shared" si="16"/>
        <v>0</v>
      </c>
      <c r="L74" s="304">
        <f t="shared" si="17"/>
        <v>0</v>
      </c>
      <c r="M74" s="305"/>
    </row>
    <row r="75" spans="2:13" s="23" customFormat="1" x14ac:dyDescent="0.3">
      <c r="B75" s="58" t="s">
        <v>105</v>
      </c>
      <c r="C75" s="59"/>
      <c r="D75" s="60"/>
      <c r="E75" s="60"/>
      <c r="F75" s="60"/>
      <c r="G75" s="61"/>
      <c r="H75" s="62"/>
      <c r="J75" s="94"/>
      <c r="K75" s="94"/>
      <c r="L75" s="312"/>
      <c r="M75" s="305"/>
    </row>
    <row r="76" spans="2:13" s="23" customFormat="1" x14ac:dyDescent="0.3">
      <c r="B76" s="300" t="s">
        <v>106</v>
      </c>
      <c r="C76" s="301"/>
      <c r="D76" s="313">
        <v>1</v>
      </c>
      <c r="E76" s="303"/>
      <c r="F76" s="45" t="s">
        <v>94</v>
      </c>
      <c r="G76" s="47">
        <v>350</v>
      </c>
      <c r="H76" s="47">
        <f t="shared" ref="H76:H81" si="18">D76*G76</f>
        <v>350</v>
      </c>
      <c r="J76" s="92">
        <f t="shared" ref="J76:J81" si="19">H76</f>
        <v>350</v>
      </c>
      <c r="K76" s="92">
        <f t="shared" ref="K76:L81" si="20">J76</f>
        <v>350</v>
      </c>
      <c r="L76" s="304">
        <f t="shared" si="20"/>
        <v>350</v>
      </c>
      <c r="M76" s="305"/>
    </row>
    <row r="77" spans="2:13" s="23" customFormat="1" x14ac:dyDescent="0.3">
      <c r="B77" s="300" t="s">
        <v>108</v>
      </c>
      <c r="C77" s="301"/>
      <c r="D77" s="302">
        <v>0</v>
      </c>
      <c r="E77" s="303"/>
      <c r="F77" s="45" t="s">
        <v>109</v>
      </c>
      <c r="G77" s="47">
        <v>50</v>
      </c>
      <c r="H77" s="47">
        <f t="shared" si="18"/>
        <v>0</v>
      </c>
      <c r="J77" s="92">
        <f t="shared" si="19"/>
        <v>0</v>
      </c>
      <c r="K77" s="92">
        <f t="shared" si="20"/>
        <v>0</v>
      </c>
      <c r="L77" s="304">
        <f t="shared" si="20"/>
        <v>0</v>
      </c>
      <c r="M77" s="325"/>
    </row>
    <row r="78" spans="2:13" s="23" customFormat="1" x14ac:dyDescent="0.3">
      <c r="B78" s="300" t="s">
        <v>110</v>
      </c>
      <c r="C78" s="301"/>
      <c r="D78" s="302">
        <v>0</v>
      </c>
      <c r="E78" s="303"/>
      <c r="F78" s="45" t="s">
        <v>94</v>
      </c>
      <c r="G78" s="47">
        <v>25</v>
      </c>
      <c r="H78" s="47">
        <f t="shared" si="18"/>
        <v>0</v>
      </c>
      <c r="J78" s="92">
        <f t="shared" si="19"/>
        <v>0</v>
      </c>
      <c r="K78" s="92">
        <f t="shared" si="20"/>
        <v>0</v>
      </c>
      <c r="L78" s="304">
        <f t="shared" si="20"/>
        <v>0</v>
      </c>
      <c r="M78" s="325"/>
    </row>
    <row r="79" spans="2:13" s="23" customFormat="1" x14ac:dyDescent="0.3">
      <c r="B79" s="300" t="s">
        <v>111</v>
      </c>
      <c r="C79" s="301"/>
      <c r="D79" s="302">
        <v>0</v>
      </c>
      <c r="E79" s="303"/>
      <c r="F79" s="45" t="s">
        <v>94</v>
      </c>
      <c r="G79" s="47">
        <v>205</v>
      </c>
      <c r="H79" s="47">
        <f t="shared" si="18"/>
        <v>0</v>
      </c>
      <c r="J79" s="92">
        <f t="shared" si="19"/>
        <v>0</v>
      </c>
      <c r="K79" s="92">
        <f t="shared" si="20"/>
        <v>0</v>
      </c>
      <c r="L79" s="304">
        <f t="shared" si="20"/>
        <v>0</v>
      </c>
      <c r="M79" s="325"/>
    </row>
    <row r="80" spans="2:13" s="23" customFormat="1" x14ac:dyDescent="0.3">
      <c r="B80" s="300" t="s">
        <v>112</v>
      </c>
      <c r="C80" s="301"/>
      <c r="D80" s="302">
        <v>0</v>
      </c>
      <c r="E80" s="303"/>
      <c r="F80" s="45" t="s">
        <v>92</v>
      </c>
      <c r="G80" s="47">
        <v>85</v>
      </c>
      <c r="H80" s="47">
        <f t="shared" si="18"/>
        <v>0</v>
      </c>
      <c r="J80" s="92">
        <f t="shared" si="19"/>
        <v>0</v>
      </c>
      <c r="K80" s="92">
        <f t="shared" si="20"/>
        <v>0</v>
      </c>
      <c r="L80" s="304">
        <f t="shared" si="20"/>
        <v>0</v>
      </c>
      <c r="M80" s="325"/>
    </row>
    <row r="81" spans="2:13" s="23" customFormat="1" x14ac:dyDescent="0.3">
      <c r="B81" s="300" t="s">
        <v>154</v>
      </c>
      <c r="C81" s="301"/>
      <c r="D81" s="302">
        <v>0</v>
      </c>
      <c r="E81" s="303"/>
      <c r="F81" s="45" t="s">
        <v>114</v>
      </c>
      <c r="G81" s="47">
        <v>24.1</v>
      </c>
      <c r="H81" s="47">
        <f t="shared" si="18"/>
        <v>0</v>
      </c>
      <c r="J81" s="92">
        <f t="shared" si="19"/>
        <v>0</v>
      </c>
      <c r="K81" s="92">
        <f t="shared" si="20"/>
        <v>0</v>
      </c>
      <c r="L81" s="304">
        <f t="shared" si="20"/>
        <v>0</v>
      </c>
      <c r="M81" s="305"/>
    </row>
    <row r="82" spans="2:13" s="23" customFormat="1" x14ac:dyDescent="0.3">
      <c r="B82" s="58" t="s">
        <v>155</v>
      </c>
      <c r="C82" s="59"/>
      <c r="D82" s="60"/>
      <c r="E82" s="60"/>
      <c r="F82" s="60"/>
      <c r="G82" s="61"/>
      <c r="H82" s="62"/>
      <c r="J82" s="92"/>
      <c r="K82" s="92"/>
      <c r="L82" s="93"/>
      <c r="M82" s="76"/>
    </row>
    <row r="83" spans="2:13" s="23" customFormat="1" x14ac:dyDescent="0.3">
      <c r="B83" s="300" t="s">
        <v>116</v>
      </c>
      <c r="C83" s="301"/>
      <c r="D83" s="302">
        <v>1</v>
      </c>
      <c r="E83" s="303"/>
      <c r="F83" s="45" t="s">
        <v>117</v>
      </c>
      <c r="G83" s="47">
        <v>150</v>
      </c>
      <c r="H83" s="47">
        <f>D83*G83</f>
        <v>150</v>
      </c>
      <c r="J83" s="92">
        <f t="shared" ref="J83" si="21">H83</f>
        <v>150</v>
      </c>
      <c r="K83" s="92">
        <f t="shared" ref="K83" si="22">J83</f>
        <v>150</v>
      </c>
      <c r="L83" s="304">
        <f t="shared" ref="L83" si="23">K83</f>
        <v>150</v>
      </c>
      <c r="M83" s="305"/>
    </row>
    <row r="84" spans="2:13" s="23" customFormat="1" x14ac:dyDescent="0.3">
      <c r="B84" s="63" t="s">
        <v>132</v>
      </c>
      <c r="C84" s="64"/>
      <c r="D84" s="65"/>
      <c r="E84" s="65"/>
      <c r="F84" s="65"/>
      <c r="G84" s="66"/>
      <c r="H84" s="67"/>
      <c r="J84" s="94"/>
      <c r="K84" s="94"/>
      <c r="L84" s="312"/>
      <c r="M84" s="305"/>
    </row>
    <row r="85" spans="2:13" s="23" customFormat="1" x14ac:dyDescent="0.3">
      <c r="B85" s="300" t="s">
        <v>119</v>
      </c>
      <c r="C85" s="301"/>
      <c r="D85" s="302">
        <v>0</v>
      </c>
      <c r="E85" s="303"/>
      <c r="F85" s="45" t="s">
        <v>92</v>
      </c>
      <c r="G85" s="47">
        <v>100</v>
      </c>
      <c r="H85" s="47">
        <f>D85*G85</f>
        <v>0</v>
      </c>
      <c r="J85" s="92">
        <f>H85</f>
        <v>0</v>
      </c>
      <c r="K85" s="92">
        <v>0</v>
      </c>
      <c r="L85" s="304">
        <v>0</v>
      </c>
      <c r="M85" s="305"/>
    </row>
    <row r="86" spans="2:13" s="23" customFormat="1" x14ac:dyDescent="0.3">
      <c r="B86" s="63" t="s">
        <v>133</v>
      </c>
      <c r="C86" s="64"/>
      <c r="D86" s="65"/>
      <c r="E86" s="65"/>
      <c r="F86" s="65"/>
      <c r="G86" s="66"/>
      <c r="H86" s="67"/>
      <c r="J86" s="94"/>
      <c r="K86" s="94"/>
      <c r="L86" s="312"/>
      <c r="M86" s="305"/>
    </row>
    <row r="87" spans="2:13" s="23" customFormat="1" x14ac:dyDescent="0.3">
      <c r="B87" s="300" t="s">
        <v>121</v>
      </c>
      <c r="C87" s="301"/>
      <c r="D87" s="312"/>
      <c r="E87" s="305"/>
      <c r="F87" s="33"/>
      <c r="G87" s="33"/>
      <c r="H87" s="33">
        <f>'Input en resultaat'!K7+'Input en resultaat'!M7</f>
        <v>0</v>
      </c>
      <c r="J87" s="33">
        <f>H87</f>
        <v>0</v>
      </c>
      <c r="K87" s="33">
        <f>H87</f>
        <v>0</v>
      </c>
      <c r="L87" s="302">
        <f>H87</f>
        <v>0</v>
      </c>
      <c r="M87" s="303"/>
    </row>
    <row r="88" spans="2:13" s="23" customFormat="1" x14ac:dyDescent="0.3">
      <c r="G88" s="53" t="s">
        <v>87</v>
      </c>
      <c r="H88" s="54">
        <f>SUM(H61:H87)</f>
        <v>1372</v>
      </c>
      <c r="J88" s="95">
        <f>SUM(J61:J87)</f>
        <v>1372</v>
      </c>
      <c r="K88" s="95">
        <f t="shared" ref="K88" si="24">SUM(K61:K87)</f>
        <v>1372</v>
      </c>
      <c r="L88" s="323">
        <f>SUM(L61:M87)</f>
        <v>1372</v>
      </c>
      <c r="M88" s="324"/>
    </row>
    <row r="89" spans="2:13" s="23" customFormat="1" x14ac:dyDescent="0.3"/>
    <row r="90" spans="2:13" s="23" customFormat="1" x14ac:dyDescent="0.3"/>
    <row r="91" spans="2:13" s="23" customFormat="1" x14ac:dyDescent="0.3"/>
    <row r="92" spans="2:13" s="23" customFormat="1" x14ac:dyDescent="0.3"/>
    <row r="93" spans="2:13" s="23" customFormat="1" x14ac:dyDescent="0.3"/>
    <row r="94" spans="2:13" s="23" customFormat="1" x14ac:dyDescent="0.3"/>
    <row r="95" spans="2:13" s="23" customFormat="1" x14ac:dyDescent="0.3"/>
    <row r="96" spans="2:13"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23" customFormat="1" x14ac:dyDescent="0.3"/>
    <row r="114" s="23" customFormat="1" x14ac:dyDescent="0.3"/>
    <row r="115" s="23" customFormat="1" x14ac:dyDescent="0.3"/>
    <row r="116" s="23" customFormat="1" x14ac:dyDescent="0.3"/>
    <row r="117" s="23" customFormat="1" x14ac:dyDescent="0.3"/>
    <row r="118" s="23" customFormat="1" x14ac:dyDescent="0.3"/>
    <row r="119" s="23" customFormat="1" x14ac:dyDescent="0.3"/>
    <row r="120" s="23" customFormat="1" x14ac:dyDescent="0.3"/>
    <row r="121" s="23" customFormat="1" x14ac:dyDescent="0.3"/>
    <row r="122" s="23" customFormat="1" x14ac:dyDescent="0.3"/>
    <row r="123" s="23" customFormat="1" x14ac:dyDescent="0.3"/>
    <row r="124" s="23" customFormat="1" x14ac:dyDescent="0.3"/>
    <row r="125" s="23" customFormat="1" x14ac:dyDescent="0.3"/>
    <row r="126" s="23" customFormat="1" x14ac:dyDescent="0.3"/>
    <row r="127" s="23" customFormat="1" x14ac:dyDescent="0.3"/>
    <row r="128" s="23" customFormat="1" x14ac:dyDescent="0.3"/>
    <row r="129" s="23" customFormat="1" x14ac:dyDescent="0.3"/>
    <row r="130" s="23" customFormat="1" x14ac:dyDescent="0.3"/>
    <row r="131" s="23" customFormat="1" x14ac:dyDescent="0.3"/>
    <row r="132" s="23" customFormat="1" x14ac:dyDescent="0.3"/>
    <row r="133" s="23" customFormat="1" x14ac:dyDescent="0.3"/>
    <row r="134" s="23" customFormat="1" x14ac:dyDescent="0.3"/>
    <row r="135" s="23" customFormat="1" x14ac:dyDescent="0.3"/>
    <row r="136" s="23" customFormat="1" x14ac:dyDescent="0.3"/>
    <row r="137" s="23" customFormat="1" x14ac:dyDescent="0.3"/>
    <row r="138" s="23" customFormat="1" x14ac:dyDescent="0.3"/>
    <row r="139" s="23" customFormat="1" x14ac:dyDescent="0.3"/>
    <row r="140" s="23" customFormat="1" x14ac:dyDescent="0.3"/>
    <row r="141" s="23" customFormat="1" x14ac:dyDescent="0.3"/>
    <row r="142" s="23" customFormat="1" x14ac:dyDescent="0.3"/>
    <row r="143" s="23" customFormat="1" x14ac:dyDescent="0.3"/>
    <row r="144" s="23" customFormat="1" x14ac:dyDescent="0.3"/>
    <row r="145" s="23" customFormat="1" x14ac:dyDescent="0.3"/>
    <row r="146" s="23" customFormat="1" x14ac:dyDescent="0.3"/>
    <row r="147" s="23" customFormat="1" x14ac:dyDescent="0.3"/>
    <row r="148" s="23" customFormat="1" x14ac:dyDescent="0.3"/>
    <row r="149" s="23" customFormat="1" x14ac:dyDescent="0.3"/>
    <row r="150" s="23" customFormat="1" x14ac:dyDescent="0.3"/>
    <row r="151" s="23" customFormat="1" x14ac:dyDescent="0.3"/>
    <row r="152" s="23" customFormat="1" x14ac:dyDescent="0.3"/>
    <row r="153" s="23" customFormat="1" x14ac:dyDescent="0.3"/>
    <row r="154" s="23" customFormat="1" x14ac:dyDescent="0.3"/>
    <row r="155" s="23" customFormat="1" x14ac:dyDescent="0.3"/>
    <row r="156" s="23" customFormat="1" x14ac:dyDescent="0.3"/>
    <row r="157" s="23" customFormat="1" x14ac:dyDescent="0.3"/>
  </sheetData>
  <mergeCells count="83">
    <mergeCell ref="B3:D3"/>
    <mergeCell ref="F3:H3"/>
    <mergeCell ref="J3:K3"/>
    <mergeCell ref="M3:O3"/>
    <mergeCell ref="B60:C60"/>
    <mergeCell ref="D60:E60"/>
    <mergeCell ref="L60:M60"/>
    <mergeCell ref="B61:C61"/>
    <mergeCell ref="D61:E61"/>
    <mergeCell ref="L61:M61"/>
    <mergeCell ref="B62:C62"/>
    <mergeCell ref="D62:E62"/>
    <mergeCell ref="L62:M62"/>
    <mergeCell ref="B67:C67"/>
    <mergeCell ref="D67:E67"/>
    <mergeCell ref="L67:M67"/>
    <mergeCell ref="B63:C63"/>
    <mergeCell ref="D63:E63"/>
    <mergeCell ref="L63:M63"/>
    <mergeCell ref="B64:C64"/>
    <mergeCell ref="D64:E64"/>
    <mergeCell ref="L64:M64"/>
    <mergeCell ref="B65:C65"/>
    <mergeCell ref="D65:E65"/>
    <mergeCell ref="L65:M65"/>
    <mergeCell ref="B66:C66"/>
    <mergeCell ref="L66:M66"/>
    <mergeCell ref="B68:C68"/>
    <mergeCell ref="D68:E68"/>
    <mergeCell ref="L68:M68"/>
    <mergeCell ref="B69:C69"/>
    <mergeCell ref="D69:E69"/>
    <mergeCell ref="L69:M69"/>
    <mergeCell ref="B70:C70"/>
    <mergeCell ref="D70:E70"/>
    <mergeCell ref="L70:M70"/>
    <mergeCell ref="L75:M75"/>
    <mergeCell ref="B76:C76"/>
    <mergeCell ref="D76:E76"/>
    <mergeCell ref="L76:M76"/>
    <mergeCell ref="D73:E73"/>
    <mergeCell ref="B74:C74"/>
    <mergeCell ref="D74:E74"/>
    <mergeCell ref="B71:C71"/>
    <mergeCell ref="D71:E71"/>
    <mergeCell ref="B72:C72"/>
    <mergeCell ref="D72:E72"/>
    <mergeCell ref="B73:C73"/>
    <mergeCell ref="L72:M72"/>
    <mergeCell ref="L84:M84"/>
    <mergeCell ref="B85:C85"/>
    <mergeCell ref="D85:E85"/>
    <mergeCell ref="L85:M85"/>
    <mergeCell ref="B79:C79"/>
    <mergeCell ref="D79:E79"/>
    <mergeCell ref="L79:M79"/>
    <mergeCell ref="B80:C80"/>
    <mergeCell ref="D80:E80"/>
    <mergeCell ref="L80:M80"/>
    <mergeCell ref="L86:M86"/>
    <mergeCell ref="B87:C87"/>
    <mergeCell ref="D87:E87"/>
    <mergeCell ref="L87:M87"/>
    <mergeCell ref="L88:M88"/>
    <mergeCell ref="L73:M73"/>
    <mergeCell ref="L74:M74"/>
    <mergeCell ref="B83:C83"/>
    <mergeCell ref="D83:E83"/>
    <mergeCell ref="L83:M83"/>
    <mergeCell ref="B81:C81"/>
    <mergeCell ref="D81:E81"/>
    <mergeCell ref="L81:M81"/>
    <mergeCell ref="B77:C77"/>
    <mergeCell ref="D77:E77"/>
    <mergeCell ref="L77:M77"/>
    <mergeCell ref="B78:C78"/>
    <mergeCell ref="D78:E78"/>
    <mergeCell ref="L78:M78"/>
    <mergeCell ref="Q3:R3"/>
    <mergeCell ref="Q2:R2"/>
    <mergeCell ref="U4:V4"/>
    <mergeCell ref="W4:X4"/>
    <mergeCell ref="L71:M7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A982B-B852-47F9-A383-B42373540E8F}">
  <sheetPr codeName="Blad7">
    <tabColor theme="7" tint="-0.249977111117893"/>
  </sheetPr>
  <dimension ref="A1:AV157"/>
  <sheetViews>
    <sheetView workbookViewId="0">
      <selection activeCell="Y2" sqref="Y2:Y25"/>
    </sheetView>
  </sheetViews>
  <sheetFormatPr defaultColWidth="11" defaultRowHeight="15.6" x14ac:dyDescent="0.3"/>
  <cols>
    <col min="1" max="1" width="5.8984375" style="23" customWidth="1"/>
    <col min="2" max="2" width="12.3984375" customWidth="1"/>
    <col min="3" max="3" width="14.09765625" customWidth="1"/>
    <col min="4" max="4" width="13.69921875" customWidth="1"/>
    <col min="5" max="5" width="2" style="23" customWidth="1"/>
    <col min="6" max="8" width="12.8984375" customWidth="1"/>
    <col min="9" max="9" width="2.19921875" style="23" customWidth="1"/>
    <col min="10" max="11" width="12.19921875" customWidth="1"/>
    <col min="12" max="12" width="2.19921875" style="23" customWidth="1"/>
    <col min="13" max="14" width="10.8984375" customWidth="1"/>
    <col min="15" max="15" width="11.3984375" customWidth="1"/>
    <col min="16" max="16" width="1.59765625" style="23" customWidth="1"/>
    <col min="17" max="18" width="9.5" style="23" customWidth="1"/>
    <col min="19" max="19" width="1.59765625" style="23" customWidth="1"/>
    <col min="20" max="25" width="11.8984375" customWidth="1"/>
    <col min="26" max="48" width="11" style="23"/>
  </cols>
  <sheetData>
    <row r="1" spans="1:48" s="23" customFormat="1" ht="16.2" thickBot="1" x14ac:dyDescent="0.35">
      <c r="A1" s="24" t="s">
        <v>56</v>
      </c>
    </row>
    <row r="2" spans="1:48" s="23" customFormat="1" ht="16.2" thickBot="1" x14ac:dyDescent="0.35">
      <c r="A2" s="24"/>
      <c r="Q2" s="329" t="s">
        <v>57</v>
      </c>
      <c r="R2" s="330"/>
      <c r="T2" s="3"/>
      <c r="U2" s="4" t="s">
        <v>58</v>
      </c>
      <c r="V2" s="84">
        <f>'Input en resultaat'!K29</f>
        <v>0</v>
      </c>
      <c r="W2" s="5" t="s">
        <v>58</v>
      </c>
      <c r="X2" s="85">
        <f>'Input en resultaat'!M27</f>
        <v>0.8</v>
      </c>
      <c r="Y2" s="7"/>
    </row>
    <row r="3" spans="1:48" s="1" customFormat="1" ht="16.2" thickBot="1" x14ac:dyDescent="0.35">
      <c r="A3" s="24"/>
      <c r="B3" s="296" t="s">
        <v>122</v>
      </c>
      <c r="C3" s="296"/>
      <c r="D3" s="296"/>
      <c r="E3" s="24"/>
      <c r="F3" s="299" t="s">
        <v>60</v>
      </c>
      <c r="G3" s="299"/>
      <c r="H3" s="299"/>
      <c r="I3" s="24"/>
      <c r="J3" s="297" t="s">
        <v>123</v>
      </c>
      <c r="K3" s="297"/>
      <c r="L3" s="24"/>
      <c r="M3" s="298" t="s">
        <v>124</v>
      </c>
      <c r="N3" s="298"/>
      <c r="O3" s="298"/>
      <c r="P3" s="27"/>
      <c r="Q3" s="328" t="s">
        <v>63</v>
      </c>
      <c r="R3" s="328"/>
      <c r="S3" s="27"/>
      <c r="T3" s="90" t="s">
        <v>57</v>
      </c>
      <c r="U3" s="8"/>
      <c r="V3" s="86">
        <f>'Input en resultaat'!K28</f>
        <v>0</v>
      </c>
      <c r="W3" s="9"/>
      <c r="X3" s="87">
        <f>'Input en resultaat'!M26</f>
        <v>70</v>
      </c>
      <c r="Y3" s="90" t="s">
        <v>57</v>
      </c>
      <c r="Z3" s="24"/>
      <c r="AA3" s="24"/>
      <c r="AB3" s="24"/>
      <c r="AC3" s="24"/>
      <c r="AD3" s="24"/>
      <c r="AE3" s="24"/>
      <c r="AF3" s="24"/>
      <c r="AG3" s="24"/>
      <c r="AH3" s="24"/>
      <c r="AI3" s="24"/>
      <c r="AJ3" s="24"/>
      <c r="AK3" s="24"/>
      <c r="AL3" s="24"/>
      <c r="AM3" s="24"/>
      <c r="AN3" s="24"/>
      <c r="AO3" s="24"/>
      <c r="AP3" s="24"/>
      <c r="AQ3" s="24"/>
      <c r="AR3" s="24"/>
      <c r="AS3" s="24"/>
      <c r="AT3" s="24"/>
      <c r="AU3" s="24"/>
      <c r="AV3" s="24"/>
    </row>
    <row r="4" spans="1:48" s="2" customFormat="1" ht="31.8" thickBot="1" x14ac:dyDescent="0.35">
      <c r="A4" s="25"/>
      <c r="B4" s="34" t="s">
        <v>125</v>
      </c>
      <c r="C4" s="34" t="s">
        <v>64</v>
      </c>
      <c r="D4" s="34" t="s">
        <v>65</v>
      </c>
      <c r="E4" s="25"/>
      <c r="F4" s="39" t="s">
        <v>66</v>
      </c>
      <c r="G4" s="39" t="s">
        <v>67</v>
      </c>
      <c r="H4" s="39" t="s">
        <v>68</v>
      </c>
      <c r="I4" s="25"/>
      <c r="J4" s="41" t="s">
        <v>69</v>
      </c>
      <c r="K4" s="41" t="s">
        <v>65</v>
      </c>
      <c r="L4" s="25"/>
      <c r="M4" s="43" t="s">
        <v>70</v>
      </c>
      <c r="N4" s="43" t="s">
        <v>71</v>
      </c>
      <c r="O4" s="43" t="s">
        <v>150</v>
      </c>
      <c r="P4" s="28"/>
      <c r="Q4" s="80" t="s">
        <v>134</v>
      </c>
      <c r="R4" s="80" t="s">
        <v>135</v>
      </c>
      <c r="S4" s="28"/>
      <c r="T4" s="129" t="s">
        <v>74</v>
      </c>
      <c r="U4" s="292" t="s">
        <v>75</v>
      </c>
      <c r="V4" s="293"/>
      <c r="W4" s="294" t="s">
        <v>76</v>
      </c>
      <c r="X4" s="295"/>
      <c r="Y4" s="12" t="s">
        <v>77</v>
      </c>
      <c r="Z4" s="25"/>
      <c r="AA4" s="25"/>
      <c r="AB4" s="25"/>
      <c r="AC4" s="25"/>
      <c r="AD4" s="25"/>
      <c r="AE4" s="25"/>
      <c r="AF4" s="25"/>
      <c r="AG4" s="25"/>
      <c r="AH4" s="25"/>
      <c r="AI4" s="25"/>
      <c r="AJ4" s="25"/>
      <c r="AK4" s="25"/>
      <c r="AL4" s="25"/>
      <c r="AM4" s="25"/>
      <c r="AN4" s="25"/>
      <c r="AO4" s="25"/>
      <c r="AP4" s="25"/>
      <c r="AQ4" s="25"/>
      <c r="AR4" s="25"/>
      <c r="AS4" s="25"/>
      <c r="AT4" s="25"/>
      <c r="AU4" s="25"/>
      <c r="AV4" s="25"/>
    </row>
    <row r="5" spans="1:48" x14ac:dyDescent="0.3">
      <c r="A5" s="23">
        <v>2023</v>
      </c>
      <c r="B5" s="35">
        <f>F5</f>
        <v>1539</v>
      </c>
      <c r="C5" s="36">
        <f>J5</f>
        <v>1539</v>
      </c>
      <c r="D5" s="36">
        <f>K5</f>
        <v>1872.2</v>
      </c>
      <c r="E5" s="26"/>
      <c r="F5" s="40">
        <f>G5-H5</f>
        <v>1539</v>
      </c>
      <c r="G5" s="40">
        <f>T5+Y5</f>
        <v>2974</v>
      </c>
      <c r="H5" s="40">
        <f>M5+N5+O5</f>
        <v>1435</v>
      </c>
      <c r="I5" s="26"/>
      <c r="J5" s="42">
        <f t="shared" ref="J5:J25" si="0">T5+Y5-M5-N5-O5</f>
        <v>1539</v>
      </c>
      <c r="K5" s="42">
        <f t="shared" ref="K5:K25" si="1">J5+V5+X5</f>
        <v>1872.2</v>
      </c>
      <c r="L5" s="30"/>
      <c r="M5" s="44">
        <f>SUM(J61:J65)</f>
        <v>370</v>
      </c>
      <c r="N5" s="44">
        <f>SUM(J67:J74)</f>
        <v>180</v>
      </c>
      <c r="O5" s="44">
        <f>SUM(J76:J87)</f>
        <v>885</v>
      </c>
      <c r="P5" s="29"/>
      <c r="Q5" s="81">
        <f>'Input en resultaat'!K18</f>
        <v>7</v>
      </c>
      <c r="R5" s="81">
        <f>'Input en resultaat'!L18</f>
        <v>6</v>
      </c>
      <c r="S5" s="29"/>
      <c r="T5" s="101">
        <f>(Q5*'Input en resultaat'!K$23+(Graan!R5*'Input en resultaat'!L$23))</f>
        <v>2500</v>
      </c>
      <c r="U5" s="14">
        <v>0.4</v>
      </c>
      <c r="V5" s="71">
        <f>U5*V$3*V$2</f>
        <v>0</v>
      </c>
      <c r="W5" s="88">
        <f>1.7*Q5*'Input en resultaat'!K$25</f>
        <v>5.95</v>
      </c>
      <c r="X5" s="89">
        <f t="shared" ref="X5:X25" si="2">W5*(X$3*X$2)</f>
        <v>333.2</v>
      </c>
      <c r="Y5" s="17">
        <f>'Input en resultaat'!K$30+'Input en resultaat'!K$31</f>
        <v>474</v>
      </c>
    </row>
    <row r="6" spans="1:48" x14ac:dyDescent="0.3">
      <c r="A6" s="23">
        <v>2024</v>
      </c>
      <c r="B6" s="35">
        <f t="shared" ref="B6:B25" si="3">B5+F6</f>
        <v>3078</v>
      </c>
      <c r="C6" s="36">
        <f t="shared" ref="C6:D21" si="4">C5+J6</f>
        <v>3078</v>
      </c>
      <c r="D6" s="36">
        <f t="shared" si="4"/>
        <v>3744.4</v>
      </c>
      <c r="E6" s="26"/>
      <c r="F6" s="40">
        <f t="shared" ref="F6:F25" si="5">G6-H6</f>
        <v>1539</v>
      </c>
      <c r="G6" s="40">
        <f t="shared" ref="G6:G25" si="6">T6+Y6</f>
        <v>2974</v>
      </c>
      <c r="H6" s="40">
        <f t="shared" ref="H6:H25" si="7">M6+N6+O6</f>
        <v>1435</v>
      </c>
      <c r="I6" s="26"/>
      <c r="J6" s="42">
        <f t="shared" si="0"/>
        <v>1539</v>
      </c>
      <c r="K6" s="42">
        <f t="shared" si="1"/>
        <v>1872.2</v>
      </c>
      <c r="L6" s="30"/>
      <c r="M6" s="44">
        <f>SUM(K61:K65)</f>
        <v>370</v>
      </c>
      <c r="N6" s="44">
        <f>SUM(K67:K74)</f>
        <v>180</v>
      </c>
      <c r="O6" s="44">
        <f>SUM(K76:K87)</f>
        <v>885</v>
      </c>
      <c r="P6" s="29"/>
      <c r="Q6" s="81">
        <f>'Input en resultaat'!K19</f>
        <v>7</v>
      </c>
      <c r="R6" s="81">
        <f>'Input en resultaat'!L19</f>
        <v>6</v>
      </c>
      <c r="S6" s="29"/>
      <c r="T6" s="13">
        <f>(Q6*'Input en resultaat'!K$23+(Graan!R6*'Input en resultaat'!L$23))</f>
        <v>2500</v>
      </c>
      <c r="U6" s="14">
        <v>1.1499999999999999</v>
      </c>
      <c r="V6" s="71">
        <f t="shared" ref="V6:V25" si="8">U6*V$3*V$2</f>
        <v>0</v>
      </c>
      <c r="W6" s="15">
        <f>1.7*Q6*'Input en resultaat'!K$25</f>
        <v>5.95</v>
      </c>
      <c r="X6" s="16">
        <f t="shared" si="2"/>
        <v>333.2</v>
      </c>
      <c r="Y6" s="17">
        <f>'Input en resultaat'!K$30+'Input en resultaat'!K$31</f>
        <v>474</v>
      </c>
    </row>
    <row r="7" spans="1:48" x14ac:dyDescent="0.3">
      <c r="A7" s="23">
        <v>2025</v>
      </c>
      <c r="B7" s="35">
        <f t="shared" si="3"/>
        <v>4617</v>
      </c>
      <c r="C7" s="36">
        <f t="shared" si="4"/>
        <v>4617</v>
      </c>
      <c r="D7" s="36">
        <f t="shared" si="4"/>
        <v>5616.6</v>
      </c>
      <c r="E7" s="26"/>
      <c r="F7" s="40">
        <f t="shared" si="5"/>
        <v>1539</v>
      </c>
      <c r="G7" s="40">
        <f t="shared" si="6"/>
        <v>2974</v>
      </c>
      <c r="H7" s="40">
        <f t="shared" si="7"/>
        <v>1435</v>
      </c>
      <c r="I7" s="26"/>
      <c r="J7" s="42">
        <f t="shared" si="0"/>
        <v>1539</v>
      </c>
      <c r="K7" s="42">
        <f t="shared" si="1"/>
        <v>1872.2</v>
      </c>
      <c r="L7" s="30"/>
      <c r="M7" s="44">
        <f>SUM(L61:M65)</f>
        <v>370</v>
      </c>
      <c r="N7" s="44">
        <f>SUM(L67:M74)</f>
        <v>180</v>
      </c>
      <c r="O7" s="44">
        <f>SUM(L76:M87)</f>
        <v>885</v>
      </c>
      <c r="P7" s="29"/>
      <c r="Q7" s="81">
        <f>'Input en resultaat'!K20</f>
        <v>7</v>
      </c>
      <c r="R7" s="81">
        <f>'Input en resultaat'!L20</f>
        <v>6</v>
      </c>
      <c r="S7" s="29"/>
      <c r="T7" s="13">
        <f>(Q7*'Input en resultaat'!K$23+(Graan!R7*'Input en resultaat'!L$23))</f>
        <v>2500</v>
      </c>
      <c r="U7" s="14">
        <v>1.85</v>
      </c>
      <c r="V7" s="71">
        <f t="shared" si="8"/>
        <v>0</v>
      </c>
      <c r="W7" s="15">
        <f>1.7*Q7*'Input en resultaat'!K$25</f>
        <v>5.95</v>
      </c>
      <c r="X7" s="16">
        <f t="shared" si="2"/>
        <v>333.2</v>
      </c>
      <c r="Y7" s="17">
        <f>'Input en resultaat'!K$30+'Input en resultaat'!K$31</f>
        <v>474</v>
      </c>
    </row>
    <row r="8" spans="1:48" x14ac:dyDescent="0.3">
      <c r="A8" s="23">
        <v>2026</v>
      </c>
      <c r="B8" s="35">
        <f t="shared" si="3"/>
        <v>6156</v>
      </c>
      <c r="C8" s="36">
        <f t="shared" si="4"/>
        <v>6156</v>
      </c>
      <c r="D8" s="36">
        <f t="shared" si="4"/>
        <v>7488.8</v>
      </c>
      <c r="E8" s="26"/>
      <c r="F8" s="40">
        <f t="shared" si="5"/>
        <v>1539</v>
      </c>
      <c r="G8" s="40">
        <f t="shared" si="6"/>
        <v>2974</v>
      </c>
      <c r="H8" s="40">
        <f t="shared" si="7"/>
        <v>1435</v>
      </c>
      <c r="I8" s="26"/>
      <c r="J8" s="42">
        <f t="shared" si="0"/>
        <v>1539</v>
      </c>
      <c r="K8" s="42">
        <f t="shared" si="1"/>
        <v>1872.2</v>
      </c>
      <c r="L8" s="30"/>
      <c r="M8" s="44">
        <f>M7</f>
        <v>370</v>
      </c>
      <c r="N8" s="44">
        <f>N7</f>
        <v>180</v>
      </c>
      <c r="O8" s="44">
        <f>O7</f>
        <v>885</v>
      </c>
      <c r="P8" s="29"/>
      <c r="Q8" s="81">
        <f>'Input en resultaat'!K21</f>
        <v>7</v>
      </c>
      <c r="R8" s="81">
        <f>'Input en resultaat'!L21</f>
        <v>6</v>
      </c>
      <c r="S8" s="29"/>
      <c r="T8" s="13">
        <f>(Q8*'Input en resultaat'!K$23+(Graan!R8*'Input en resultaat'!L$23))</f>
        <v>2500</v>
      </c>
      <c r="U8" s="14">
        <v>2.35</v>
      </c>
      <c r="V8" s="71">
        <f t="shared" si="8"/>
        <v>0</v>
      </c>
      <c r="W8" s="15">
        <f>1.7*Q8*'Input en resultaat'!K$25</f>
        <v>5.95</v>
      </c>
      <c r="X8" s="16">
        <f t="shared" si="2"/>
        <v>333.2</v>
      </c>
      <c r="Y8" s="17">
        <f>'Input en resultaat'!K$30+'Input en resultaat'!K$31</f>
        <v>474</v>
      </c>
    </row>
    <row r="9" spans="1:48" x14ac:dyDescent="0.3">
      <c r="A9" s="23">
        <v>2027</v>
      </c>
      <c r="B9" s="35">
        <f t="shared" si="3"/>
        <v>7695</v>
      </c>
      <c r="C9" s="36">
        <f t="shared" si="4"/>
        <v>7695</v>
      </c>
      <c r="D9" s="36">
        <f t="shared" si="4"/>
        <v>9361</v>
      </c>
      <c r="E9" s="26"/>
      <c r="F9" s="40">
        <f t="shared" si="5"/>
        <v>1539</v>
      </c>
      <c r="G9" s="40">
        <f t="shared" si="6"/>
        <v>2974</v>
      </c>
      <c r="H9" s="40">
        <f t="shared" si="7"/>
        <v>1435</v>
      </c>
      <c r="I9" s="26"/>
      <c r="J9" s="42">
        <f t="shared" si="0"/>
        <v>1539</v>
      </c>
      <c r="K9" s="42">
        <f t="shared" si="1"/>
        <v>1872.2</v>
      </c>
      <c r="L9" s="30"/>
      <c r="M9" s="44">
        <f t="shared" ref="M9:O24" si="9">M8</f>
        <v>370</v>
      </c>
      <c r="N9" s="44">
        <f t="shared" si="9"/>
        <v>180</v>
      </c>
      <c r="O9" s="44">
        <f t="shared" si="9"/>
        <v>885</v>
      </c>
      <c r="P9" s="29"/>
      <c r="Q9" s="81">
        <f>Q8</f>
        <v>7</v>
      </c>
      <c r="R9" s="81">
        <f>R8</f>
        <v>6</v>
      </c>
      <c r="S9" s="29"/>
      <c r="T9" s="13">
        <f>(Q9*'Input en resultaat'!K$23+(Graan!R9*'Input en resultaat'!L$23))</f>
        <v>2500</v>
      </c>
      <c r="U9" s="14">
        <v>2.35</v>
      </c>
      <c r="V9" s="71">
        <f t="shared" si="8"/>
        <v>0</v>
      </c>
      <c r="W9" s="15">
        <f>1.7*Q9*'Input en resultaat'!K$25</f>
        <v>5.95</v>
      </c>
      <c r="X9" s="16">
        <f t="shared" si="2"/>
        <v>333.2</v>
      </c>
      <c r="Y9" s="17">
        <f>'Input en resultaat'!K$30+'Input en resultaat'!K$31</f>
        <v>474</v>
      </c>
    </row>
    <row r="10" spans="1:48" x14ac:dyDescent="0.3">
      <c r="A10" s="23">
        <v>2028</v>
      </c>
      <c r="B10" s="35">
        <f t="shared" si="3"/>
        <v>9234</v>
      </c>
      <c r="C10" s="36">
        <f t="shared" si="4"/>
        <v>9234</v>
      </c>
      <c r="D10" s="36">
        <f t="shared" si="4"/>
        <v>11233.2</v>
      </c>
      <c r="E10" s="26"/>
      <c r="F10" s="40">
        <f t="shared" si="5"/>
        <v>1539</v>
      </c>
      <c r="G10" s="40">
        <f t="shared" si="6"/>
        <v>2974</v>
      </c>
      <c r="H10" s="40">
        <f t="shared" si="7"/>
        <v>1435</v>
      </c>
      <c r="I10" s="26"/>
      <c r="J10" s="42">
        <f t="shared" si="0"/>
        <v>1539</v>
      </c>
      <c r="K10" s="42">
        <f t="shared" si="1"/>
        <v>1872.2</v>
      </c>
      <c r="L10" s="30"/>
      <c r="M10" s="44">
        <f t="shared" si="9"/>
        <v>370</v>
      </c>
      <c r="N10" s="44">
        <f t="shared" si="9"/>
        <v>180</v>
      </c>
      <c r="O10" s="44">
        <f t="shared" si="9"/>
        <v>885</v>
      </c>
      <c r="P10" s="29"/>
      <c r="Q10" s="81">
        <f t="shared" ref="Q10:R25" si="10">Q9</f>
        <v>7</v>
      </c>
      <c r="R10" s="81">
        <f t="shared" si="10"/>
        <v>6</v>
      </c>
      <c r="S10" s="29"/>
      <c r="T10" s="13">
        <f>(Q10*'Input en resultaat'!K$23+(Graan!R10*'Input en resultaat'!L$23))</f>
        <v>2500</v>
      </c>
      <c r="U10" s="14">
        <v>2.35</v>
      </c>
      <c r="V10" s="71">
        <f t="shared" si="8"/>
        <v>0</v>
      </c>
      <c r="W10" s="15">
        <f>1.7*Q10*'Input en resultaat'!K$25</f>
        <v>5.95</v>
      </c>
      <c r="X10" s="16">
        <f t="shared" si="2"/>
        <v>333.2</v>
      </c>
      <c r="Y10" s="17">
        <f>'Input en resultaat'!K$30+'Input en resultaat'!K$31</f>
        <v>474</v>
      </c>
    </row>
    <row r="11" spans="1:48" x14ac:dyDescent="0.3">
      <c r="A11" s="23">
        <v>2029</v>
      </c>
      <c r="B11" s="35">
        <f t="shared" si="3"/>
        <v>10773</v>
      </c>
      <c r="C11" s="36">
        <f t="shared" si="4"/>
        <v>10773</v>
      </c>
      <c r="D11" s="36">
        <f t="shared" si="4"/>
        <v>13105.400000000001</v>
      </c>
      <c r="E11" s="26"/>
      <c r="F11" s="40">
        <f t="shared" si="5"/>
        <v>1539</v>
      </c>
      <c r="G11" s="40">
        <f t="shared" si="6"/>
        <v>2974</v>
      </c>
      <c r="H11" s="40">
        <f t="shared" si="7"/>
        <v>1435</v>
      </c>
      <c r="I11" s="26"/>
      <c r="J11" s="42">
        <f t="shared" si="0"/>
        <v>1539</v>
      </c>
      <c r="K11" s="42">
        <f t="shared" si="1"/>
        <v>1872.2</v>
      </c>
      <c r="L11" s="30"/>
      <c r="M11" s="44">
        <f t="shared" si="9"/>
        <v>370</v>
      </c>
      <c r="N11" s="44">
        <f t="shared" si="9"/>
        <v>180</v>
      </c>
      <c r="O11" s="44">
        <f t="shared" si="9"/>
        <v>885</v>
      </c>
      <c r="P11" s="29"/>
      <c r="Q11" s="81">
        <f t="shared" si="10"/>
        <v>7</v>
      </c>
      <c r="R11" s="81">
        <f t="shared" si="10"/>
        <v>6</v>
      </c>
      <c r="S11" s="29"/>
      <c r="T11" s="13">
        <f>(Q11*'Input en resultaat'!K$23+(Graan!R11*'Input en resultaat'!L$23))</f>
        <v>2500</v>
      </c>
      <c r="U11" s="14">
        <v>2.35</v>
      </c>
      <c r="V11" s="71">
        <f t="shared" si="8"/>
        <v>0</v>
      </c>
      <c r="W11" s="15">
        <f>1.7*Q11*'Input en resultaat'!K$25</f>
        <v>5.95</v>
      </c>
      <c r="X11" s="16">
        <f t="shared" si="2"/>
        <v>333.2</v>
      </c>
      <c r="Y11" s="17">
        <f>'Input en resultaat'!K$30+'Input en resultaat'!K$31</f>
        <v>474</v>
      </c>
    </row>
    <row r="12" spans="1:48" x14ac:dyDescent="0.3">
      <c r="A12" s="23">
        <v>2030</v>
      </c>
      <c r="B12" s="35">
        <f t="shared" si="3"/>
        <v>12312</v>
      </c>
      <c r="C12" s="36">
        <f t="shared" si="4"/>
        <v>12312</v>
      </c>
      <c r="D12" s="36">
        <f t="shared" si="4"/>
        <v>14977.600000000002</v>
      </c>
      <c r="E12" s="26"/>
      <c r="F12" s="40">
        <f t="shared" si="5"/>
        <v>1539</v>
      </c>
      <c r="G12" s="40">
        <f t="shared" si="6"/>
        <v>2974</v>
      </c>
      <c r="H12" s="40">
        <f t="shared" si="7"/>
        <v>1435</v>
      </c>
      <c r="I12" s="26"/>
      <c r="J12" s="42">
        <f t="shared" si="0"/>
        <v>1539</v>
      </c>
      <c r="K12" s="42">
        <f t="shared" si="1"/>
        <v>1872.2</v>
      </c>
      <c r="L12" s="30"/>
      <c r="M12" s="44">
        <f t="shared" si="9"/>
        <v>370</v>
      </c>
      <c r="N12" s="44">
        <f t="shared" si="9"/>
        <v>180</v>
      </c>
      <c r="O12" s="44">
        <f t="shared" si="9"/>
        <v>885</v>
      </c>
      <c r="P12" s="29"/>
      <c r="Q12" s="81">
        <f t="shared" si="10"/>
        <v>7</v>
      </c>
      <c r="R12" s="81">
        <f t="shared" si="10"/>
        <v>6</v>
      </c>
      <c r="S12" s="29"/>
      <c r="T12" s="13">
        <f>(Q12*'Input en resultaat'!K$23+(Graan!R12*'Input en resultaat'!L$23))</f>
        <v>2500</v>
      </c>
      <c r="U12" s="14">
        <v>2.35</v>
      </c>
      <c r="V12" s="71">
        <f t="shared" si="8"/>
        <v>0</v>
      </c>
      <c r="W12" s="15">
        <f>1.7*Q12*'Input en resultaat'!K$25</f>
        <v>5.95</v>
      </c>
      <c r="X12" s="16">
        <f t="shared" si="2"/>
        <v>333.2</v>
      </c>
      <c r="Y12" s="17">
        <f>'Input en resultaat'!K$30+'Input en resultaat'!K$31</f>
        <v>474</v>
      </c>
    </row>
    <row r="13" spans="1:48" x14ac:dyDescent="0.3">
      <c r="A13" s="23">
        <v>2031</v>
      </c>
      <c r="B13" s="35">
        <f t="shared" si="3"/>
        <v>13851</v>
      </c>
      <c r="C13" s="36">
        <f t="shared" si="4"/>
        <v>13851</v>
      </c>
      <c r="D13" s="36">
        <f t="shared" si="4"/>
        <v>16849.800000000003</v>
      </c>
      <c r="E13" s="26"/>
      <c r="F13" s="40">
        <f t="shared" si="5"/>
        <v>1539</v>
      </c>
      <c r="G13" s="40">
        <f t="shared" si="6"/>
        <v>2974</v>
      </c>
      <c r="H13" s="40">
        <f t="shared" si="7"/>
        <v>1435</v>
      </c>
      <c r="I13" s="26"/>
      <c r="J13" s="42">
        <f t="shared" si="0"/>
        <v>1539</v>
      </c>
      <c r="K13" s="42">
        <f t="shared" si="1"/>
        <v>1872.2</v>
      </c>
      <c r="L13" s="30"/>
      <c r="M13" s="44">
        <f t="shared" si="9"/>
        <v>370</v>
      </c>
      <c r="N13" s="44">
        <f t="shared" si="9"/>
        <v>180</v>
      </c>
      <c r="O13" s="44">
        <f t="shared" si="9"/>
        <v>885</v>
      </c>
      <c r="P13" s="29"/>
      <c r="Q13" s="81">
        <f t="shared" si="10"/>
        <v>7</v>
      </c>
      <c r="R13" s="81">
        <f t="shared" si="10"/>
        <v>6</v>
      </c>
      <c r="S13" s="29"/>
      <c r="T13" s="13">
        <f>(Q13*'Input en resultaat'!K$23+(Graan!R13*'Input en resultaat'!L$23))</f>
        <v>2500</v>
      </c>
      <c r="U13" s="14">
        <v>2.35</v>
      </c>
      <c r="V13" s="71">
        <f t="shared" si="8"/>
        <v>0</v>
      </c>
      <c r="W13" s="15">
        <f>1.7*Q13*'Input en resultaat'!K$25</f>
        <v>5.95</v>
      </c>
      <c r="X13" s="16">
        <f t="shared" si="2"/>
        <v>333.2</v>
      </c>
      <c r="Y13" s="17">
        <f>'Input en resultaat'!K$30+'Input en resultaat'!K$31</f>
        <v>474</v>
      </c>
    </row>
    <row r="14" spans="1:48" x14ac:dyDescent="0.3">
      <c r="A14" s="23">
        <v>2032</v>
      </c>
      <c r="B14" s="35">
        <f t="shared" si="3"/>
        <v>15390</v>
      </c>
      <c r="C14" s="36">
        <f t="shared" si="4"/>
        <v>15390</v>
      </c>
      <c r="D14" s="36">
        <f t="shared" si="4"/>
        <v>18722.000000000004</v>
      </c>
      <c r="E14" s="26"/>
      <c r="F14" s="40">
        <f t="shared" si="5"/>
        <v>1539</v>
      </c>
      <c r="G14" s="40">
        <f t="shared" si="6"/>
        <v>2974</v>
      </c>
      <c r="H14" s="40">
        <f t="shared" si="7"/>
        <v>1435</v>
      </c>
      <c r="I14" s="26"/>
      <c r="J14" s="42">
        <f t="shared" si="0"/>
        <v>1539</v>
      </c>
      <c r="K14" s="42">
        <f t="shared" si="1"/>
        <v>1872.2</v>
      </c>
      <c r="L14" s="30"/>
      <c r="M14" s="44">
        <f t="shared" si="9"/>
        <v>370</v>
      </c>
      <c r="N14" s="44">
        <f t="shared" si="9"/>
        <v>180</v>
      </c>
      <c r="O14" s="44">
        <f t="shared" si="9"/>
        <v>885</v>
      </c>
      <c r="P14" s="29"/>
      <c r="Q14" s="81">
        <f t="shared" si="10"/>
        <v>7</v>
      </c>
      <c r="R14" s="81">
        <f t="shared" si="10"/>
        <v>6</v>
      </c>
      <c r="S14" s="29"/>
      <c r="T14" s="13">
        <f>(Q14*'Input en resultaat'!K$23+(Graan!R14*'Input en resultaat'!L$23))</f>
        <v>2500</v>
      </c>
      <c r="U14" s="14">
        <v>2.35</v>
      </c>
      <c r="V14" s="71">
        <f t="shared" si="8"/>
        <v>0</v>
      </c>
      <c r="W14" s="15">
        <f>1.7*Q14*'Input en resultaat'!K$25</f>
        <v>5.95</v>
      </c>
      <c r="X14" s="16">
        <f t="shared" si="2"/>
        <v>333.2</v>
      </c>
      <c r="Y14" s="17">
        <f>'Input en resultaat'!K$30+'Input en resultaat'!K$31</f>
        <v>474</v>
      </c>
    </row>
    <row r="15" spans="1:48" x14ac:dyDescent="0.3">
      <c r="A15" s="23">
        <v>2033</v>
      </c>
      <c r="B15" s="35">
        <f t="shared" si="3"/>
        <v>16929</v>
      </c>
      <c r="C15" s="36">
        <f t="shared" si="4"/>
        <v>16929</v>
      </c>
      <c r="D15" s="36">
        <f t="shared" si="4"/>
        <v>20594.200000000004</v>
      </c>
      <c r="E15" s="26"/>
      <c r="F15" s="40">
        <f t="shared" si="5"/>
        <v>1539</v>
      </c>
      <c r="G15" s="40">
        <f t="shared" si="6"/>
        <v>2974</v>
      </c>
      <c r="H15" s="40">
        <f t="shared" si="7"/>
        <v>1435</v>
      </c>
      <c r="I15" s="26"/>
      <c r="J15" s="42">
        <f t="shared" si="0"/>
        <v>1539</v>
      </c>
      <c r="K15" s="42">
        <f t="shared" si="1"/>
        <v>1872.2</v>
      </c>
      <c r="L15" s="30"/>
      <c r="M15" s="44">
        <f t="shared" si="9"/>
        <v>370</v>
      </c>
      <c r="N15" s="44">
        <f t="shared" si="9"/>
        <v>180</v>
      </c>
      <c r="O15" s="44">
        <f t="shared" si="9"/>
        <v>885</v>
      </c>
      <c r="P15" s="29"/>
      <c r="Q15" s="81">
        <f t="shared" si="10"/>
        <v>7</v>
      </c>
      <c r="R15" s="81">
        <f t="shared" si="10"/>
        <v>6</v>
      </c>
      <c r="S15" s="29"/>
      <c r="T15" s="13">
        <f>(Q15*'Input en resultaat'!K$23+(Graan!R15*'Input en resultaat'!L$23))</f>
        <v>2500</v>
      </c>
      <c r="U15" s="14">
        <v>2.35</v>
      </c>
      <c r="V15" s="71">
        <f t="shared" si="8"/>
        <v>0</v>
      </c>
      <c r="W15" s="15">
        <f>1.7*Q15*'Input en resultaat'!K$25</f>
        <v>5.95</v>
      </c>
      <c r="X15" s="16">
        <f t="shared" si="2"/>
        <v>333.2</v>
      </c>
      <c r="Y15" s="17">
        <f>'Input en resultaat'!K$30+'Input en resultaat'!K$31</f>
        <v>474</v>
      </c>
    </row>
    <row r="16" spans="1:48" x14ac:dyDescent="0.3">
      <c r="A16" s="23">
        <v>2034</v>
      </c>
      <c r="B16" s="35">
        <f t="shared" si="3"/>
        <v>18468</v>
      </c>
      <c r="C16" s="36">
        <f t="shared" si="4"/>
        <v>18468</v>
      </c>
      <c r="D16" s="36">
        <f t="shared" si="4"/>
        <v>22466.400000000005</v>
      </c>
      <c r="E16" s="26"/>
      <c r="F16" s="40">
        <f t="shared" si="5"/>
        <v>1539</v>
      </c>
      <c r="G16" s="40">
        <f t="shared" si="6"/>
        <v>2974</v>
      </c>
      <c r="H16" s="40">
        <f t="shared" si="7"/>
        <v>1435</v>
      </c>
      <c r="I16" s="26"/>
      <c r="J16" s="42">
        <f t="shared" si="0"/>
        <v>1539</v>
      </c>
      <c r="K16" s="42">
        <f t="shared" si="1"/>
        <v>1872.2</v>
      </c>
      <c r="L16" s="30"/>
      <c r="M16" s="44">
        <f t="shared" si="9"/>
        <v>370</v>
      </c>
      <c r="N16" s="44">
        <f t="shared" si="9"/>
        <v>180</v>
      </c>
      <c r="O16" s="44">
        <f t="shared" si="9"/>
        <v>885</v>
      </c>
      <c r="P16" s="29"/>
      <c r="Q16" s="81">
        <f t="shared" si="10"/>
        <v>7</v>
      </c>
      <c r="R16" s="81">
        <f t="shared" si="10"/>
        <v>6</v>
      </c>
      <c r="S16" s="29"/>
      <c r="T16" s="13">
        <f>(Q16*'Input en resultaat'!K$23+(Graan!R16*'Input en resultaat'!L$23))</f>
        <v>2500</v>
      </c>
      <c r="U16" s="14">
        <v>2.35</v>
      </c>
      <c r="V16" s="71">
        <f t="shared" si="8"/>
        <v>0</v>
      </c>
      <c r="W16" s="15">
        <f>1.7*Q16*'Input en resultaat'!K$25</f>
        <v>5.95</v>
      </c>
      <c r="X16" s="16">
        <f t="shared" si="2"/>
        <v>333.2</v>
      </c>
      <c r="Y16" s="17">
        <f>'Input en resultaat'!K$30+'Input en resultaat'!K$31</f>
        <v>474</v>
      </c>
    </row>
    <row r="17" spans="1:25" x14ac:dyDescent="0.3">
      <c r="A17" s="23">
        <v>2035</v>
      </c>
      <c r="B17" s="35">
        <f t="shared" si="3"/>
        <v>20007</v>
      </c>
      <c r="C17" s="36">
        <f t="shared" si="4"/>
        <v>20007</v>
      </c>
      <c r="D17" s="36">
        <f t="shared" si="4"/>
        <v>24338.600000000006</v>
      </c>
      <c r="E17" s="26"/>
      <c r="F17" s="40">
        <f t="shared" si="5"/>
        <v>1539</v>
      </c>
      <c r="G17" s="40">
        <f t="shared" si="6"/>
        <v>2974</v>
      </c>
      <c r="H17" s="40">
        <f t="shared" si="7"/>
        <v>1435</v>
      </c>
      <c r="I17" s="26"/>
      <c r="J17" s="42">
        <f t="shared" si="0"/>
        <v>1539</v>
      </c>
      <c r="K17" s="42">
        <f t="shared" si="1"/>
        <v>1872.2</v>
      </c>
      <c r="L17" s="30"/>
      <c r="M17" s="44">
        <f t="shared" si="9"/>
        <v>370</v>
      </c>
      <c r="N17" s="44">
        <f t="shared" si="9"/>
        <v>180</v>
      </c>
      <c r="O17" s="44">
        <f t="shared" si="9"/>
        <v>885</v>
      </c>
      <c r="P17" s="29"/>
      <c r="Q17" s="81">
        <f t="shared" si="10"/>
        <v>7</v>
      </c>
      <c r="R17" s="81">
        <f t="shared" si="10"/>
        <v>6</v>
      </c>
      <c r="S17" s="29"/>
      <c r="T17" s="13">
        <f>(Q17*'Input en resultaat'!K$23+(Graan!R17*'Input en resultaat'!L$23))</f>
        <v>2500</v>
      </c>
      <c r="U17" s="14">
        <v>2.35</v>
      </c>
      <c r="V17" s="71">
        <f t="shared" si="8"/>
        <v>0</v>
      </c>
      <c r="W17" s="15">
        <f>1.7*Q17*'Input en resultaat'!K$25</f>
        <v>5.95</v>
      </c>
      <c r="X17" s="16">
        <f t="shared" si="2"/>
        <v>333.2</v>
      </c>
      <c r="Y17" s="17">
        <f>'Input en resultaat'!K$30+'Input en resultaat'!K$31</f>
        <v>474</v>
      </c>
    </row>
    <row r="18" spans="1:25" x14ac:dyDescent="0.3">
      <c r="A18" s="23">
        <v>2036</v>
      </c>
      <c r="B18" s="35">
        <f t="shared" si="3"/>
        <v>21546</v>
      </c>
      <c r="C18" s="36">
        <f t="shared" si="4"/>
        <v>21546</v>
      </c>
      <c r="D18" s="36">
        <f t="shared" si="4"/>
        <v>26210.800000000007</v>
      </c>
      <c r="E18" s="26"/>
      <c r="F18" s="40">
        <f t="shared" si="5"/>
        <v>1539</v>
      </c>
      <c r="G18" s="40">
        <f t="shared" si="6"/>
        <v>2974</v>
      </c>
      <c r="H18" s="40">
        <f t="shared" si="7"/>
        <v>1435</v>
      </c>
      <c r="I18" s="26"/>
      <c r="J18" s="42">
        <f t="shared" si="0"/>
        <v>1539</v>
      </c>
      <c r="K18" s="42">
        <f t="shared" si="1"/>
        <v>1872.2</v>
      </c>
      <c r="L18" s="30"/>
      <c r="M18" s="44">
        <f t="shared" si="9"/>
        <v>370</v>
      </c>
      <c r="N18" s="44">
        <f t="shared" si="9"/>
        <v>180</v>
      </c>
      <c r="O18" s="44">
        <f t="shared" si="9"/>
        <v>885</v>
      </c>
      <c r="P18" s="29"/>
      <c r="Q18" s="81">
        <f t="shared" si="10"/>
        <v>7</v>
      </c>
      <c r="R18" s="81">
        <f t="shared" si="10"/>
        <v>6</v>
      </c>
      <c r="S18" s="29"/>
      <c r="T18" s="13">
        <f>(Q18*'Input en resultaat'!K$23+(Graan!R18*'Input en resultaat'!L$23))</f>
        <v>2500</v>
      </c>
      <c r="U18" s="14">
        <v>2.35</v>
      </c>
      <c r="V18" s="71">
        <f t="shared" si="8"/>
        <v>0</v>
      </c>
      <c r="W18" s="15">
        <f>1.7*Q18*'Input en resultaat'!K$25</f>
        <v>5.95</v>
      </c>
      <c r="X18" s="16">
        <f t="shared" si="2"/>
        <v>333.2</v>
      </c>
      <c r="Y18" s="17">
        <f>'Input en resultaat'!K$30+'Input en resultaat'!K$31</f>
        <v>474</v>
      </c>
    </row>
    <row r="19" spans="1:25" x14ac:dyDescent="0.3">
      <c r="A19" s="23">
        <v>2037</v>
      </c>
      <c r="B19" s="35">
        <f t="shared" si="3"/>
        <v>23085</v>
      </c>
      <c r="C19" s="36">
        <f t="shared" si="4"/>
        <v>23085</v>
      </c>
      <c r="D19" s="36">
        <f t="shared" si="4"/>
        <v>28083.000000000007</v>
      </c>
      <c r="E19" s="26"/>
      <c r="F19" s="40">
        <f t="shared" si="5"/>
        <v>1539</v>
      </c>
      <c r="G19" s="40">
        <f t="shared" si="6"/>
        <v>2974</v>
      </c>
      <c r="H19" s="40">
        <f t="shared" si="7"/>
        <v>1435</v>
      </c>
      <c r="I19" s="26"/>
      <c r="J19" s="42">
        <f t="shared" si="0"/>
        <v>1539</v>
      </c>
      <c r="K19" s="42">
        <f t="shared" si="1"/>
        <v>1872.2</v>
      </c>
      <c r="L19" s="30"/>
      <c r="M19" s="44">
        <f t="shared" si="9"/>
        <v>370</v>
      </c>
      <c r="N19" s="44">
        <f t="shared" si="9"/>
        <v>180</v>
      </c>
      <c r="O19" s="44">
        <f t="shared" si="9"/>
        <v>885</v>
      </c>
      <c r="P19" s="29"/>
      <c r="Q19" s="81">
        <f t="shared" si="10"/>
        <v>7</v>
      </c>
      <c r="R19" s="81">
        <f t="shared" si="10"/>
        <v>6</v>
      </c>
      <c r="S19" s="29"/>
      <c r="T19" s="13">
        <f>(Q19*'Input en resultaat'!K$23+(Graan!R19*'Input en resultaat'!L$23))</f>
        <v>2500</v>
      </c>
      <c r="U19" s="14">
        <v>2.35</v>
      </c>
      <c r="V19" s="71">
        <f t="shared" si="8"/>
        <v>0</v>
      </c>
      <c r="W19" s="15">
        <f>1.7*Q19*'Input en resultaat'!K$25</f>
        <v>5.95</v>
      </c>
      <c r="X19" s="16">
        <f t="shared" si="2"/>
        <v>333.2</v>
      </c>
      <c r="Y19" s="17">
        <f>'Input en resultaat'!K$30+'Input en resultaat'!K$31</f>
        <v>474</v>
      </c>
    </row>
    <row r="20" spans="1:25" x14ac:dyDescent="0.3">
      <c r="A20" s="23">
        <v>2038</v>
      </c>
      <c r="B20" s="35">
        <f t="shared" si="3"/>
        <v>24624</v>
      </c>
      <c r="C20" s="36">
        <f t="shared" si="4"/>
        <v>24624</v>
      </c>
      <c r="D20" s="36">
        <f t="shared" si="4"/>
        <v>29955.200000000008</v>
      </c>
      <c r="E20" s="26"/>
      <c r="F20" s="40">
        <f t="shared" si="5"/>
        <v>1539</v>
      </c>
      <c r="G20" s="40">
        <f t="shared" si="6"/>
        <v>2974</v>
      </c>
      <c r="H20" s="40">
        <f t="shared" si="7"/>
        <v>1435</v>
      </c>
      <c r="I20" s="26"/>
      <c r="J20" s="42">
        <f t="shared" si="0"/>
        <v>1539</v>
      </c>
      <c r="K20" s="42">
        <f t="shared" si="1"/>
        <v>1872.2</v>
      </c>
      <c r="L20" s="30"/>
      <c r="M20" s="44">
        <f t="shared" si="9"/>
        <v>370</v>
      </c>
      <c r="N20" s="44">
        <f t="shared" si="9"/>
        <v>180</v>
      </c>
      <c r="O20" s="44">
        <f t="shared" si="9"/>
        <v>885</v>
      </c>
      <c r="P20" s="29"/>
      <c r="Q20" s="81">
        <f t="shared" si="10"/>
        <v>7</v>
      </c>
      <c r="R20" s="81">
        <f t="shared" si="10"/>
        <v>6</v>
      </c>
      <c r="S20" s="29"/>
      <c r="T20" s="13">
        <f>(Q20*'Input en resultaat'!K$23+(Graan!R20*'Input en resultaat'!L$23))</f>
        <v>2500</v>
      </c>
      <c r="U20" s="14">
        <v>2.35</v>
      </c>
      <c r="V20" s="71">
        <f t="shared" si="8"/>
        <v>0</v>
      </c>
      <c r="W20" s="15">
        <f>1.7*Q20*'Input en resultaat'!K$25</f>
        <v>5.95</v>
      </c>
      <c r="X20" s="16">
        <f t="shared" si="2"/>
        <v>333.2</v>
      </c>
      <c r="Y20" s="17">
        <f>'Input en resultaat'!K$30+'Input en resultaat'!K$31</f>
        <v>474</v>
      </c>
    </row>
    <row r="21" spans="1:25" x14ac:dyDescent="0.3">
      <c r="A21" s="23">
        <v>2039</v>
      </c>
      <c r="B21" s="35">
        <f t="shared" si="3"/>
        <v>26163</v>
      </c>
      <c r="C21" s="36">
        <f t="shared" si="4"/>
        <v>26163</v>
      </c>
      <c r="D21" s="36">
        <f t="shared" si="4"/>
        <v>31827.400000000009</v>
      </c>
      <c r="E21" s="26"/>
      <c r="F21" s="40">
        <f t="shared" si="5"/>
        <v>1539</v>
      </c>
      <c r="G21" s="40">
        <f t="shared" si="6"/>
        <v>2974</v>
      </c>
      <c r="H21" s="40">
        <f t="shared" si="7"/>
        <v>1435</v>
      </c>
      <c r="I21" s="26"/>
      <c r="J21" s="42">
        <f t="shared" si="0"/>
        <v>1539</v>
      </c>
      <c r="K21" s="42">
        <f t="shared" si="1"/>
        <v>1872.2</v>
      </c>
      <c r="L21" s="30"/>
      <c r="M21" s="44">
        <f t="shared" si="9"/>
        <v>370</v>
      </c>
      <c r="N21" s="44">
        <f t="shared" si="9"/>
        <v>180</v>
      </c>
      <c r="O21" s="44">
        <f t="shared" si="9"/>
        <v>885</v>
      </c>
      <c r="P21" s="29"/>
      <c r="Q21" s="81">
        <f t="shared" si="10"/>
        <v>7</v>
      </c>
      <c r="R21" s="81">
        <f t="shared" si="10"/>
        <v>6</v>
      </c>
      <c r="S21" s="29"/>
      <c r="T21" s="13">
        <f>(Q21*'Input en resultaat'!K$23+(Graan!R21*'Input en resultaat'!L$23))</f>
        <v>2500</v>
      </c>
      <c r="U21" s="14">
        <v>2.35</v>
      </c>
      <c r="V21" s="71">
        <f t="shared" si="8"/>
        <v>0</v>
      </c>
      <c r="W21" s="15">
        <f>1.7*Q21*'Input en resultaat'!K$25</f>
        <v>5.95</v>
      </c>
      <c r="X21" s="16">
        <f t="shared" si="2"/>
        <v>333.2</v>
      </c>
      <c r="Y21" s="17">
        <f>'Input en resultaat'!K$30+'Input en resultaat'!K$31</f>
        <v>474</v>
      </c>
    </row>
    <row r="22" spans="1:25" x14ac:dyDescent="0.3">
      <c r="A22" s="23">
        <v>2040</v>
      </c>
      <c r="B22" s="35">
        <f t="shared" si="3"/>
        <v>27702</v>
      </c>
      <c r="C22" s="36">
        <f t="shared" ref="C22:D25" si="11">C21+J22</f>
        <v>27702</v>
      </c>
      <c r="D22" s="36">
        <f t="shared" si="11"/>
        <v>33699.600000000006</v>
      </c>
      <c r="E22" s="26"/>
      <c r="F22" s="40">
        <f t="shared" si="5"/>
        <v>1539</v>
      </c>
      <c r="G22" s="40">
        <f t="shared" si="6"/>
        <v>2974</v>
      </c>
      <c r="H22" s="40">
        <f t="shared" si="7"/>
        <v>1435</v>
      </c>
      <c r="I22" s="26"/>
      <c r="J22" s="42">
        <f t="shared" si="0"/>
        <v>1539</v>
      </c>
      <c r="K22" s="42">
        <f t="shared" si="1"/>
        <v>1872.2</v>
      </c>
      <c r="L22" s="30"/>
      <c r="M22" s="44">
        <f t="shared" si="9"/>
        <v>370</v>
      </c>
      <c r="N22" s="44">
        <f t="shared" si="9"/>
        <v>180</v>
      </c>
      <c r="O22" s="44">
        <f t="shared" si="9"/>
        <v>885</v>
      </c>
      <c r="P22" s="29"/>
      <c r="Q22" s="81">
        <f t="shared" si="10"/>
        <v>7</v>
      </c>
      <c r="R22" s="81">
        <f t="shared" si="10"/>
        <v>6</v>
      </c>
      <c r="S22" s="29"/>
      <c r="T22" s="13">
        <f>(Q22*'Input en resultaat'!K$23+(Graan!R22*'Input en resultaat'!L$23))</f>
        <v>2500</v>
      </c>
      <c r="U22" s="14">
        <v>2.35</v>
      </c>
      <c r="V22" s="71">
        <f t="shared" si="8"/>
        <v>0</v>
      </c>
      <c r="W22" s="15">
        <f>1.7*Q22*'Input en resultaat'!K$25</f>
        <v>5.95</v>
      </c>
      <c r="X22" s="16">
        <f t="shared" si="2"/>
        <v>333.2</v>
      </c>
      <c r="Y22" s="17">
        <f>'Input en resultaat'!K$30+'Input en resultaat'!K$31</f>
        <v>474</v>
      </c>
    </row>
    <row r="23" spans="1:25" x14ac:dyDescent="0.3">
      <c r="A23" s="23">
        <v>2041</v>
      </c>
      <c r="B23" s="35">
        <f t="shared" si="3"/>
        <v>29241</v>
      </c>
      <c r="C23" s="36">
        <f t="shared" si="11"/>
        <v>29241</v>
      </c>
      <c r="D23" s="36">
        <f t="shared" si="11"/>
        <v>35571.800000000003</v>
      </c>
      <c r="E23" s="26"/>
      <c r="F23" s="40">
        <f t="shared" si="5"/>
        <v>1539</v>
      </c>
      <c r="G23" s="40">
        <f t="shared" si="6"/>
        <v>2974</v>
      </c>
      <c r="H23" s="40">
        <f t="shared" si="7"/>
        <v>1435</v>
      </c>
      <c r="I23" s="26"/>
      <c r="J23" s="42">
        <f t="shared" si="0"/>
        <v>1539</v>
      </c>
      <c r="K23" s="42">
        <f t="shared" si="1"/>
        <v>1872.2</v>
      </c>
      <c r="L23" s="30"/>
      <c r="M23" s="44">
        <f t="shared" si="9"/>
        <v>370</v>
      </c>
      <c r="N23" s="44">
        <f t="shared" si="9"/>
        <v>180</v>
      </c>
      <c r="O23" s="44">
        <f t="shared" si="9"/>
        <v>885</v>
      </c>
      <c r="P23" s="29"/>
      <c r="Q23" s="81">
        <f t="shared" si="10"/>
        <v>7</v>
      </c>
      <c r="R23" s="81">
        <f t="shared" si="10"/>
        <v>6</v>
      </c>
      <c r="S23" s="29"/>
      <c r="T23" s="13">
        <f>(Q23*'Input en resultaat'!K$23+(Graan!R23*'Input en resultaat'!L$23))</f>
        <v>2500</v>
      </c>
      <c r="U23" s="14">
        <v>2.35</v>
      </c>
      <c r="V23" s="71">
        <f t="shared" si="8"/>
        <v>0</v>
      </c>
      <c r="W23" s="15">
        <f>1.7*Q23*'Input en resultaat'!K$25</f>
        <v>5.95</v>
      </c>
      <c r="X23" s="16">
        <f t="shared" si="2"/>
        <v>333.2</v>
      </c>
      <c r="Y23" s="17">
        <f>'Input en resultaat'!K$30+'Input en resultaat'!K$31</f>
        <v>474</v>
      </c>
    </row>
    <row r="24" spans="1:25" x14ac:dyDescent="0.3">
      <c r="A24" s="23">
        <v>2042</v>
      </c>
      <c r="B24" s="35">
        <f t="shared" si="3"/>
        <v>30780</v>
      </c>
      <c r="C24" s="36">
        <f t="shared" si="11"/>
        <v>30780</v>
      </c>
      <c r="D24" s="36">
        <f t="shared" si="11"/>
        <v>37444</v>
      </c>
      <c r="E24" s="26"/>
      <c r="F24" s="40">
        <f t="shared" si="5"/>
        <v>1539</v>
      </c>
      <c r="G24" s="40">
        <f t="shared" si="6"/>
        <v>2974</v>
      </c>
      <c r="H24" s="40">
        <f t="shared" si="7"/>
        <v>1435</v>
      </c>
      <c r="I24" s="26"/>
      <c r="J24" s="42">
        <f t="shared" si="0"/>
        <v>1539</v>
      </c>
      <c r="K24" s="42">
        <f t="shared" si="1"/>
        <v>1872.2</v>
      </c>
      <c r="L24" s="30"/>
      <c r="M24" s="44">
        <f t="shared" si="9"/>
        <v>370</v>
      </c>
      <c r="N24" s="44">
        <f t="shared" si="9"/>
        <v>180</v>
      </c>
      <c r="O24" s="44">
        <f t="shared" si="9"/>
        <v>885</v>
      </c>
      <c r="P24" s="29"/>
      <c r="Q24" s="81">
        <f t="shared" si="10"/>
        <v>7</v>
      </c>
      <c r="R24" s="81">
        <f t="shared" si="10"/>
        <v>6</v>
      </c>
      <c r="S24" s="29"/>
      <c r="T24" s="13">
        <f>(Q24*'Input en resultaat'!K$23+(Graan!R24*'Input en resultaat'!L$23))</f>
        <v>2500</v>
      </c>
      <c r="U24" s="14">
        <v>2.35</v>
      </c>
      <c r="V24" s="71">
        <f t="shared" si="8"/>
        <v>0</v>
      </c>
      <c r="W24" s="15">
        <f>1.7*Q24*'Input en resultaat'!K$25</f>
        <v>5.95</v>
      </c>
      <c r="X24" s="16">
        <f t="shared" si="2"/>
        <v>333.2</v>
      </c>
      <c r="Y24" s="17">
        <f>'Input en resultaat'!K$30+'Input en resultaat'!K$31</f>
        <v>474</v>
      </c>
    </row>
    <row r="25" spans="1:25" ht="16.2" thickBot="1" x14ac:dyDescent="0.35">
      <c r="A25" s="23">
        <v>2043</v>
      </c>
      <c r="B25" s="35">
        <f t="shared" si="3"/>
        <v>32319</v>
      </c>
      <c r="C25" s="36">
        <f t="shared" si="11"/>
        <v>32319</v>
      </c>
      <c r="D25" s="36">
        <f t="shared" si="11"/>
        <v>39316.199999999997</v>
      </c>
      <c r="E25" s="26"/>
      <c r="F25" s="40">
        <f t="shared" si="5"/>
        <v>1539</v>
      </c>
      <c r="G25" s="40">
        <f t="shared" si="6"/>
        <v>2974</v>
      </c>
      <c r="H25" s="40">
        <f t="shared" si="7"/>
        <v>1435</v>
      </c>
      <c r="I25" s="26"/>
      <c r="J25" s="42">
        <f t="shared" si="0"/>
        <v>1539</v>
      </c>
      <c r="K25" s="42">
        <f t="shared" si="1"/>
        <v>1872.2</v>
      </c>
      <c r="L25" s="30"/>
      <c r="M25" s="44">
        <f t="shared" ref="M25:O25" si="12">M24</f>
        <v>370</v>
      </c>
      <c r="N25" s="44">
        <f t="shared" si="12"/>
        <v>180</v>
      </c>
      <c r="O25" s="44">
        <f t="shared" si="12"/>
        <v>885</v>
      </c>
      <c r="P25" s="29"/>
      <c r="Q25" s="81">
        <f t="shared" si="10"/>
        <v>7</v>
      </c>
      <c r="R25" s="81">
        <f t="shared" si="10"/>
        <v>6</v>
      </c>
      <c r="S25" s="29"/>
      <c r="T25" s="18">
        <f>(Q25*'Input en resultaat'!K$23+(Graan!R25*'Input en resultaat'!L$23))</f>
        <v>2500</v>
      </c>
      <c r="U25" s="19">
        <v>2.35</v>
      </c>
      <c r="V25" s="72">
        <f t="shared" si="8"/>
        <v>0</v>
      </c>
      <c r="W25" s="20">
        <f>1.7*Q25*'Input en resultaat'!K$25</f>
        <v>5.95</v>
      </c>
      <c r="X25" s="21">
        <f t="shared" si="2"/>
        <v>333.2</v>
      </c>
      <c r="Y25" s="22">
        <f>'Input en resultaat'!K$30+'Input en resultaat'!K$31</f>
        <v>474</v>
      </c>
    </row>
    <row r="26" spans="1:25" s="23" customFormat="1" x14ac:dyDescent="0.3">
      <c r="B26" s="30"/>
      <c r="D26" s="37" t="s">
        <v>78</v>
      </c>
      <c r="E26" s="31"/>
      <c r="F26" s="38">
        <f>AVERAGE(F5:F25)</f>
        <v>1539</v>
      </c>
      <c r="G26" s="31"/>
      <c r="H26" s="31"/>
      <c r="I26" s="31"/>
      <c r="J26" s="38">
        <f>AVERAGE(J5:J25)</f>
        <v>1539</v>
      </c>
      <c r="K26" s="38">
        <f>AVERAGE(K5:K25)</f>
        <v>1872.1999999999998</v>
      </c>
    </row>
    <row r="27" spans="1:25" s="23" customFormat="1" x14ac:dyDescent="0.3"/>
    <row r="28" spans="1:25" s="23" customFormat="1" x14ac:dyDescent="0.3"/>
    <row r="29" spans="1:25" s="23" customFormat="1" x14ac:dyDescent="0.3"/>
    <row r="30" spans="1:25" s="23" customFormat="1" x14ac:dyDescent="0.3"/>
    <row r="31" spans="1:25" s="23" customFormat="1" x14ac:dyDescent="0.3"/>
    <row r="32" spans="1:25"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pans="2:15" s="23" customFormat="1" x14ac:dyDescent="0.3"/>
    <row r="50" spans="2:15" s="23" customFormat="1" x14ac:dyDescent="0.3"/>
    <row r="51" spans="2:15" s="23" customFormat="1" x14ac:dyDescent="0.3"/>
    <row r="52" spans="2:15" s="23" customFormat="1" x14ac:dyDescent="0.3"/>
    <row r="53" spans="2:15" s="23" customFormat="1" x14ac:dyDescent="0.3"/>
    <row r="54" spans="2:15" s="23" customFormat="1" x14ac:dyDescent="0.3"/>
    <row r="55" spans="2:15" s="23" customFormat="1" x14ac:dyDescent="0.3"/>
    <row r="56" spans="2:15" s="23" customFormat="1" x14ac:dyDescent="0.3"/>
    <row r="57" spans="2:15" s="23" customFormat="1" x14ac:dyDescent="0.3"/>
    <row r="58" spans="2:15" s="23" customFormat="1" x14ac:dyDescent="0.3"/>
    <row r="59" spans="2:15" s="23" customFormat="1" x14ac:dyDescent="0.3">
      <c r="B59" s="50" t="s">
        <v>82</v>
      </c>
      <c r="C59" s="51"/>
      <c r="D59" s="51"/>
      <c r="E59" s="51"/>
      <c r="F59" s="51"/>
      <c r="G59" s="51"/>
      <c r="H59" s="52"/>
      <c r="J59" s="78"/>
      <c r="K59" s="78"/>
      <c r="L59" s="78"/>
      <c r="M59" s="78"/>
    </row>
    <row r="60" spans="2:15" s="23" customFormat="1" x14ac:dyDescent="0.3">
      <c r="B60" s="314" t="s">
        <v>83</v>
      </c>
      <c r="C60" s="315"/>
      <c r="D60" s="316" t="s">
        <v>84</v>
      </c>
      <c r="E60" s="317"/>
      <c r="F60" s="49" t="s">
        <v>85</v>
      </c>
      <c r="G60" s="49" t="s">
        <v>86</v>
      </c>
      <c r="H60" s="49" t="s">
        <v>87</v>
      </c>
      <c r="J60" s="91" t="s">
        <v>88</v>
      </c>
      <c r="K60" s="91" t="s">
        <v>89</v>
      </c>
      <c r="L60" s="326" t="s">
        <v>90</v>
      </c>
      <c r="M60" s="327"/>
      <c r="N60" s="24"/>
      <c r="O60" s="48"/>
    </row>
    <row r="61" spans="2:15" s="23" customFormat="1" x14ac:dyDescent="0.3">
      <c r="B61" s="300" t="s">
        <v>91</v>
      </c>
      <c r="C61" s="301"/>
      <c r="D61" s="302">
        <v>1</v>
      </c>
      <c r="E61" s="303"/>
      <c r="F61" s="45" t="s">
        <v>92</v>
      </c>
      <c r="G61" s="47">
        <v>95</v>
      </c>
      <c r="H61" s="47">
        <f>D61*G61</f>
        <v>95</v>
      </c>
      <c r="J61" s="92">
        <f>H61</f>
        <v>95</v>
      </c>
      <c r="K61" s="92">
        <f>J61</f>
        <v>95</v>
      </c>
      <c r="L61" s="304">
        <f>K61</f>
        <v>95</v>
      </c>
      <c r="M61" s="305"/>
      <c r="N61" s="24"/>
      <c r="O61" s="48"/>
    </row>
    <row r="62" spans="2:15" s="23" customFormat="1" x14ac:dyDescent="0.3">
      <c r="B62" s="300" t="s">
        <v>93</v>
      </c>
      <c r="C62" s="301"/>
      <c r="D62" s="302">
        <v>0</v>
      </c>
      <c r="E62" s="303"/>
      <c r="F62" s="45" t="s">
        <v>94</v>
      </c>
      <c r="G62" s="47">
        <v>185</v>
      </c>
      <c r="H62" s="47">
        <f>D62*G62</f>
        <v>0</v>
      </c>
      <c r="J62" s="92">
        <f>H62</f>
        <v>0</v>
      </c>
      <c r="K62" s="92">
        <f>J62</f>
        <v>0</v>
      </c>
      <c r="L62" s="304">
        <f>K62</f>
        <v>0</v>
      </c>
      <c r="M62" s="305"/>
      <c r="N62" s="24"/>
      <c r="O62" s="48"/>
    </row>
    <row r="63" spans="2:15" s="23" customFormat="1" x14ac:dyDescent="0.3">
      <c r="B63" s="314" t="s">
        <v>95</v>
      </c>
      <c r="C63" s="315"/>
      <c r="D63" s="316"/>
      <c r="E63" s="317"/>
      <c r="F63" s="49"/>
      <c r="G63" s="49"/>
      <c r="H63" s="49"/>
      <c r="J63" s="94"/>
      <c r="K63" s="94"/>
      <c r="L63" s="312"/>
      <c r="M63" s="305"/>
    </row>
    <row r="64" spans="2:15" s="23" customFormat="1" x14ac:dyDescent="0.3">
      <c r="B64" s="300" t="s">
        <v>152</v>
      </c>
      <c r="C64" s="301"/>
      <c r="D64" s="302">
        <v>1</v>
      </c>
      <c r="E64" s="303"/>
      <c r="F64" s="45" t="s">
        <v>94</v>
      </c>
      <c r="G64" s="47">
        <v>150</v>
      </c>
      <c r="H64" s="47">
        <f>D64*G64</f>
        <v>150</v>
      </c>
      <c r="J64" s="92">
        <f>H64</f>
        <v>150</v>
      </c>
      <c r="K64" s="92">
        <f>J64</f>
        <v>150</v>
      </c>
      <c r="L64" s="304">
        <f>K64</f>
        <v>150</v>
      </c>
      <c r="M64" s="305"/>
    </row>
    <row r="65" spans="2:13" s="23" customFormat="1" x14ac:dyDescent="0.3">
      <c r="B65" s="300" t="s">
        <v>97</v>
      </c>
      <c r="C65" s="301"/>
      <c r="D65" s="302">
        <v>1</v>
      </c>
      <c r="E65" s="303"/>
      <c r="F65" s="45" t="s">
        <v>94</v>
      </c>
      <c r="G65" s="47">
        <v>125</v>
      </c>
      <c r="H65" s="47">
        <f>D65*G65</f>
        <v>125</v>
      </c>
      <c r="J65" s="92">
        <f>H65</f>
        <v>125</v>
      </c>
      <c r="K65" s="92">
        <f>J65</f>
        <v>125</v>
      </c>
      <c r="L65" s="304">
        <f>K65</f>
        <v>125</v>
      </c>
      <c r="M65" s="305"/>
    </row>
    <row r="66" spans="2:13" s="23" customFormat="1" x14ac:dyDescent="0.3">
      <c r="B66" s="314" t="s">
        <v>99</v>
      </c>
      <c r="C66" s="315"/>
      <c r="D66" s="55"/>
      <c r="E66" s="55"/>
      <c r="F66" s="55"/>
      <c r="G66" s="56"/>
      <c r="H66" s="57"/>
      <c r="J66" s="94"/>
      <c r="K66" s="94"/>
      <c r="L66" s="312"/>
      <c r="M66" s="305"/>
    </row>
    <row r="67" spans="2:13" s="23" customFormat="1" x14ac:dyDescent="0.3">
      <c r="B67" s="300" t="s">
        <v>100</v>
      </c>
      <c r="C67" s="301"/>
      <c r="D67" s="302"/>
      <c r="E67" s="303"/>
      <c r="F67" s="45"/>
      <c r="G67" s="47"/>
      <c r="H67" s="47"/>
      <c r="J67" s="92">
        <f>H67</f>
        <v>0</v>
      </c>
      <c r="K67" s="92">
        <f t="shared" ref="K67:L74" si="13">J67</f>
        <v>0</v>
      </c>
      <c r="L67" s="304">
        <f t="shared" si="13"/>
        <v>0</v>
      </c>
      <c r="M67" s="305"/>
    </row>
    <row r="68" spans="2:13" s="23" customFormat="1" x14ac:dyDescent="0.3">
      <c r="B68" s="300" t="s">
        <v>101</v>
      </c>
      <c r="C68" s="301"/>
      <c r="D68" s="302"/>
      <c r="E68" s="303"/>
      <c r="F68" s="45"/>
      <c r="G68" s="47"/>
      <c r="H68" s="47"/>
      <c r="J68" s="92">
        <f t="shared" ref="J68:J74" si="14">H68</f>
        <v>0</v>
      </c>
      <c r="K68" s="92">
        <f t="shared" si="13"/>
        <v>0</v>
      </c>
      <c r="L68" s="304">
        <f t="shared" si="13"/>
        <v>0</v>
      </c>
      <c r="M68" s="305"/>
    </row>
    <row r="69" spans="2:13" s="23" customFormat="1" x14ac:dyDescent="0.3">
      <c r="B69" s="300" t="s">
        <v>102</v>
      </c>
      <c r="C69" s="301"/>
      <c r="D69" s="302">
        <v>0.5</v>
      </c>
      <c r="E69" s="303"/>
      <c r="F69" s="45" t="s">
        <v>92</v>
      </c>
      <c r="G69" s="47">
        <v>200</v>
      </c>
      <c r="H69" s="47">
        <f t="shared" ref="H69:H70" si="15">D69*G69</f>
        <v>100</v>
      </c>
      <c r="J69" s="92">
        <f t="shared" si="14"/>
        <v>100</v>
      </c>
      <c r="K69" s="92">
        <f t="shared" si="13"/>
        <v>100</v>
      </c>
      <c r="L69" s="304">
        <f t="shared" si="13"/>
        <v>100</v>
      </c>
      <c r="M69" s="305"/>
    </row>
    <row r="70" spans="2:13" s="23" customFormat="1" x14ac:dyDescent="0.3">
      <c r="B70" s="300" t="s">
        <v>153</v>
      </c>
      <c r="C70" s="301"/>
      <c r="D70" s="302">
        <v>30</v>
      </c>
      <c r="E70" s="303"/>
      <c r="F70" s="45" t="s">
        <v>104</v>
      </c>
      <c r="G70" s="47">
        <v>-3</v>
      </c>
      <c r="H70" s="47">
        <f t="shared" si="15"/>
        <v>-90</v>
      </c>
      <c r="J70" s="92">
        <f t="shared" si="14"/>
        <v>-90</v>
      </c>
      <c r="K70" s="92">
        <f t="shared" si="13"/>
        <v>-90</v>
      </c>
      <c r="L70" s="304">
        <f t="shared" si="13"/>
        <v>-90</v>
      </c>
      <c r="M70" s="305"/>
    </row>
    <row r="71" spans="2:13" s="23" customFormat="1" x14ac:dyDescent="0.3">
      <c r="B71" s="300" t="s">
        <v>137</v>
      </c>
      <c r="C71" s="301"/>
      <c r="D71" s="302">
        <v>0</v>
      </c>
      <c r="E71" s="303"/>
      <c r="F71" s="45" t="s">
        <v>138</v>
      </c>
      <c r="G71" s="47">
        <v>1</v>
      </c>
      <c r="H71" s="47">
        <f t="shared" ref="H71:H74" si="16">D71*G71</f>
        <v>0</v>
      </c>
      <c r="J71" s="92">
        <f t="shared" si="14"/>
        <v>0</v>
      </c>
      <c r="K71" s="92">
        <f t="shared" si="13"/>
        <v>0</v>
      </c>
      <c r="L71" s="304">
        <f t="shared" si="13"/>
        <v>0</v>
      </c>
      <c r="M71" s="305"/>
    </row>
    <row r="72" spans="2:13" s="23" customFormat="1" x14ac:dyDescent="0.3">
      <c r="B72" s="300" t="s">
        <v>139</v>
      </c>
      <c r="C72" s="301"/>
      <c r="D72" s="302">
        <v>0</v>
      </c>
      <c r="E72" s="303"/>
      <c r="F72" s="45" t="s">
        <v>140</v>
      </c>
      <c r="G72" s="77">
        <v>0.65</v>
      </c>
      <c r="H72" s="47">
        <f t="shared" si="16"/>
        <v>0</v>
      </c>
      <c r="J72" s="92">
        <f t="shared" si="14"/>
        <v>0</v>
      </c>
      <c r="K72" s="92">
        <f t="shared" si="13"/>
        <v>0</v>
      </c>
      <c r="L72" s="304">
        <f t="shared" si="13"/>
        <v>0</v>
      </c>
      <c r="M72" s="305"/>
    </row>
    <row r="73" spans="2:13" s="23" customFormat="1" x14ac:dyDescent="0.3">
      <c r="B73" s="321" t="s">
        <v>141</v>
      </c>
      <c r="C73" s="321"/>
      <c r="D73" s="322">
        <v>1</v>
      </c>
      <c r="E73" s="322"/>
      <c r="F73" s="45" t="s">
        <v>94</v>
      </c>
      <c r="G73" s="47">
        <v>170</v>
      </c>
      <c r="H73" s="47">
        <f t="shared" si="16"/>
        <v>170</v>
      </c>
      <c r="J73" s="92">
        <f t="shared" si="14"/>
        <v>170</v>
      </c>
      <c r="K73" s="92">
        <f t="shared" si="13"/>
        <v>170</v>
      </c>
      <c r="L73" s="304">
        <f t="shared" si="13"/>
        <v>170</v>
      </c>
      <c r="M73" s="305"/>
    </row>
    <row r="74" spans="2:13" s="23" customFormat="1" x14ac:dyDescent="0.3">
      <c r="B74" s="300" t="s">
        <v>142</v>
      </c>
      <c r="C74" s="301"/>
      <c r="D74" s="322">
        <v>114</v>
      </c>
      <c r="E74" s="322"/>
      <c r="F74" s="45" t="s">
        <v>143</v>
      </c>
      <c r="G74" s="47">
        <v>0</v>
      </c>
      <c r="H74" s="47">
        <f t="shared" si="16"/>
        <v>0</v>
      </c>
      <c r="J74" s="92">
        <f t="shared" si="14"/>
        <v>0</v>
      </c>
      <c r="K74" s="92">
        <f t="shared" si="13"/>
        <v>0</v>
      </c>
      <c r="L74" s="304">
        <f t="shared" si="13"/>
        <v>0</v>
      </c>
      <c r="M74" s="305"/>
    </row>
    <row r="75" spans="2:13" s="23" customFormat="1" x14ac:dyDescent="0.3">
      <c r="B75" s="58" t="s">
        <v>105</v>
      </c>
      <c r="C75" s="59"/>
      <c r="D75" s="60"/>
      <c r="E75" s="60"/>
      <c r="F75" s="60"/>
      <c r="G75" s="61"/>
      <c r="H75" s="62"/>
      <c r="J75" s="94"/>
      <c r="K75" s="94"/>
      <c r="L75" s="312"/>
      <c r="M75" s="305"/>
    </row>
    <row r="76" spans="2:13" s="23" customFormat="1" x14ac:dyDescent="0.3">
      <c r="B76" s="300" t="s">
        <v>156</v>
      </c>
      <c r="C76" s="301"/>
      <c r="D76" s="313">
        <v>1</v>
      </c>
      <c r="E76" s="303"/>
      <c r="F76" s="45" t="s">
        <v>94</v>
      </c>
      <c r="G76" s="47">
        <v>350</v>
      </c>
      <c r="H76" s="47">
        <f t="shared" ref="H76:H80" si="17">D76*G76</f>
        <v>350</v>
      </c>
      <c r="J76" s="92">
        <f t="shared" ref="J76:J81" si="18">H76</f>
        <v>350</v>
      </c>
      <c r="K76" s="92">
        <f t="shared" ref="K76:L81" si="19">J76</f>
        <v>350</v>
      </c>
      <c r="L76" s="304">
        <f t="shared" si="19"/>
        <v>350</v>
      </c>
      <c r="M76" s="305"/>
    </row>
    <row r="77" spans="2:13" s="23" customFormat="1" x14ac:dyDescent="0.3">
      <c r="B77" s="300" t="s">
        <v>108</v>
      </c>
      <c r="C77" s="301"/>
      <c r="D77" s="302">
        <v>0</v>
      </c>
      <c r="E77" s="303"/>
      <c r="F77" s="45" t="s">
        <v>109</v>
      </c>
      <c r="G77" s="47">
        <v>50</v>
      </c>
      <c r="H77" s="47">
        <f t="shared" si="17"/>
        <v>0</v>
      </c>
      <c r="J77" s="92">
        <f t="shared" si="18"/>
        <v>0</v>
      </c>
      <c r="K77" s="92">
        <f t="shared" si="19"/>
        <v>0</v>
      </c>
      <c r="L77" s="304">
        <f t="shared" si="19"/>
        <v>0</v>
      </c>
      <c r="M77" s="325"/>
    </row>
    <row r="78" spans="2:13" s="23" customFormat="1" x14ac:dyDescent="0.3">
      <c r="B78" s="300" t="s">
        <v>110</v>
      </c>
      <c r="C78" s="301"/>
      <c r="D78" s="302">
        <v>0</v>
      </c>
      <c r="E78" s="303"/>
      <c r="F78" s="45" t="s">
        <v>94</v>
      </c>
      <c r="G78" s="47">
        <v>25</v>
      </c>
      <c r="H78" s="47">
        <f t="shared" si="17"/>
        <v>0</v>
      </c>
      <c r="J78" s="92">
        <f t="shared" si="18"/>
        <v>0</v>
      </c>
      <c r="K78" s="92">
        <f t="shared" si="19"/>
        <v>0</v>
      </c>
      <c r="L78" s="304">
        <f t="shared" si="19"/>
        <v>0</v>
      </c>
      <c r="M78" s="325"/>
    </row>
    <row r="79" spans="2:13" s="23" customFormat="1" x14ac:dyDescent="0.3">
      <c r="B79" s="300" t="s">
        <v>111</v>
      </c>
      <c r="C79" s="301"/>
      <c r="D79" s="302">
        <v>1</v>
      </c>
      <c r="E79" s="303"/>
      <c r="F79" s="45" t="s">
        <v>94</v>
      </c>
      <c r="G79" s="47">
        <v>100</v>
      </c>
      <c r="H79" s="47">
        <f t="shared" si="17"/>
        <v>100</v>
      </c>
      <c r="J79" s="92">
        <f t="shared" si="18"/>
        <v>100</v>
      </c>
      <c r="K79" s="92">
        <f t="shared" si="19"/>
        <v>100</v>
      </c>
      <c r="L79" s="304">
        <f t="shared" si="19"/>
        <v>100</v>
      </c>
      <c r="M79" s="325"/>
    </row>
    <row r="80" spans="2:13" s="23" customFormat="1" x14ac:dyDescent="0.3">
      <c r="B80" s="300" t="s">
        <v>112</v>
      </c>
      <c r="C80" s="301"/>
      <c r="D80" s="302">
        <v>1</v>
      </c>
      <c r="E80" s="303"/>
      <c r="F80" s="45" t="s">
        <v>92</v>
      </c>
      <c r="G80" s="47">
        <v>85</v>
      </c>
      <c r="H80" s="47">
        <f t="shared" si="17"/>
        <v>85</v>
      </c>
      <c r="J80" s="92">
        <f t="shared" si="18"/>
        <v>85</v>
      </c>
      <c r="K80" s="92">
        <f t="shared" si="19"/>
        <v>85</v>
      </c>
      <c r="L80" s="304">
        <f t="shared" si="19"/>
        <v>85</v>
      </c>
      <c r="M80" s="325"/>
    </row>
    <row r="81" spans="2:13" s="23" customFormat="1" x14ac:dyDescent="0.3">
      <c r="B81" s="300" t="s">
        <v>154</v>
      </c>
      <c r="C81" s="301"/>
      <c r="D81" s="302">
        <v>35</v>
      </c>
      <c r="E81" s="303"/>
      <c r="F81" s="45" t="s">
        <v>114</v>
      </c>
      <c r="G81" s="47">
        <v>10</v>
      </c>
      <c r="H81" s="47">
        <f>IF('Input en resultaat'!K22=("centraal verwerkt"),(D81*G81),100)</f>
        <v>350</v>
      </c>
      <c r="J81" s="92">
        <f t="shared" si="18"/>
        <v>350</v>
      </c>
      <c r="K81" s="92">
        <f t="shared" si="19"/>
        <v>350</v>
      </c>
      <c r="L81" s="304">
        <f t="shared" si="19"/>
        <v>350</v>
      </c>
      <c r="M81" s="305"/>
    </row>
    <row r="82" spans="2:13" s="23" customFormat="1" x14ac:dyDescent="0.3">
      <c r="B82" s="58" t="s">
        <v>155</v>
      </c>
      <c r="C82" s="59"/>
      <c r="D82" s="60"/>
      <c r="E82" s="60"/>
      <c r="F82" s="60"/>
      <c r="G82" s="61"/>
      <c r="H82" s="62"/>
      <c r="J82" s="92"/>
      <c r="K82" s="92"/>
      <c r="L82" s="93"/>
      <c r="M82" s="76"/>
    </row>
    <row r="83" spans="2:13" s="23" customFormat="1" x14ac:dyDescent="0.3">
      <c r="B83" s="300" t="s">
        <v>116</v>
      </c>
      <c r="C83" s="301"/>
      <c r="D83" s="302">
        <v>0</v>
      </c>
      <c r="E83" s="303"/>
      <c r="F83" s="45" t="s">
        <v>117</v>
      </c>
      <c r="G83" s="47">
        <v>150</v>
      </c>
      <c r="H83" s="47">
        <f>D83*G83</f>
        <v>0</v>
      </c>
      <c r="J83" s="92">
        <f t="shared" ref="J83" si="20">H83</f>
        <v>0</v>
      </c>
      <c r="K83" s="92">
        <f t="shared" ref="K83:L83" si="21">J83</f>
        <v>0</v>
      </c>
      <c r="L83" s="304">
        <f t="shared" si="21"/>
        <v>0</v>
      </c>
      <c r="M83" s="305"/>
    </row>
    <row r="84" spans="2:13" s="23" customFormat="1" x14ac:dyDescent="0.3">
      <c r="B84" s="63" t="s">
        <v>132</v>
      </c>
      <c r="C84" s="64"/>
      <c r="D84" s="65"/>
      <c r="E84" s="65"/>
      <c r="F84" s="65"/>
      <c r="G84" s="66"/>
      <c r="H84" s="67"/>
      <c r="J84" s="94"/>
      <c r="K84" s="94"/>
      <c r="L84" s="312"/>
      <c r="M84" s="305"/>
    </row>
    <row r="85" spans="2:13" s="23" customFormat="1" x14ac:dyDescent="0.3">
      <c r="B85" s="300" t="s">
        <v>119</v>
      </c>
      <c r="C85" s="301"/>
      <c r="D85" s="302">
        <v>0</v>
      </c>
      <c r="E85" s="303"/>
      <c r="F85" s="45" t="s">
        <v>92</v>
      </c>
      <c r="G85" s="47">
        <v>100</v>
      </c>
      <c r="H85" s="47">
        <f>D85*G85</f>
        <v>0</v>
      </c>
      <c r="J85" s="92">
        <f>H85</f>
        <v>0</v>
      </c>
      <c r="K85" s="92">
        <v>0</v>
      </c>
      <c r="L85" s="304">
        <v>0</v>
      </c>
      <c r="M85" s="305"/>
    </row>
    <row r="86" spans="2:13" s="23" customFormat="1" x14ac:dyDescent="0.3">
      <c r="B86" s="63" t="s">
        <v>133</v>
      </c>
      <c r="C86" s="64"/>
      <c r="D86" s="65"/>
      <c r="E86" s="65"/>
      <c r="F86" s="65"/>
      <c r="G86" s="66"/>
      <c r="H86" s="67"/>
      <c r="J86" s="94"/>
      <c r="K86" s="94"/>
      <c r="L86" s="312"/>
      <c r="M86" s="305"/>
    </row>
    <row r="87" spans="2:13" s="23" customFormat="1" x14ac:dyDescent="0.3">
      <c r="B87" s="300" t="s">
        <v>121</v>
      </c>
      <c r="C87" s="301"/>
      <c r="D87" s="312"/>
      <c r="E87" s="305"/>
      <c r="F87" s="33"/>
      <c r="G87" s="33"/>
      <c r="H87" s="33">
        <f>'Input en resultaat'!K7+'Input en resultaat'!M7</f>
        <v>0</v>
      </c>
      <c r="J87" s="33">
        <f>H87</f>
        <v>0</v>
      </c>
      <c r="K87" s="33">
        <f>H87</f>
        <v>0</v>
      </c>
      <c r="L87" s="302">
        <f>H87</f>
        <v>0</v>
      </c>
      <c r="M87" s="303"/>
    </row>
    <row r="88" spans="2:13" s="23" customFormat="1" x14ac:dyDescent="0.3">
      <c r="G88" s="53" t="s">
        <v>87</v>
      </c>
      <c r="H88" s="54">
        <f>SUM(H61:H87)</f>
        <v>1435</v>
      </c>
      <c r="J88" s="95">
        <f>SUM(J61:J87)</f>
        <v>1435</v>
      </c>
      <c r="K88" s="95">
        <f t="shared" ref="K88" si="22">SUM(K61:K87)</f>
        <v>1435</v>
      </c>
      <c r="L88" s="323">
        <f>SUM(L61:M87)</f>
        <v>1435</v>
      </c>
      <c r="M88" s="324"/>
    </row>
    <row r="89" spans="2:13" s="23" customFormat="1" x14ac:dyDescent="0.3"/>
    <row r="90" spans="2:13" s="23" customFormat="1" x14ac:dyDescent="0.3"/>
    <row r="91" spans="2:13" s="23" customFormat="1" x14ac:dyDescent="0.3"/>
    <row r="92" spans="2:13" s="23" customFormat="1" x14ac:dyDescent="0.3"/>
    <row r="93" spans="2:13" s="23" customFormat="1" x14ac:dyDescent="0.3"/>
    <row r="94" spans="2:13" s="23" customFormat="1" x14ac:dyDescent="0.3"/>
    <row r="95" spans="2:13" s="23" customFormat="1" x14ac:dyDescent="0.3"/>
    <row r="96" spans="2:13"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23" customFormat="1" x14ac:dyDescent="0.3"/>
    <row r="114" s="23" customFormat="1" x14ac:dyDescent="0.3"/>
    <row r="115" s="23" customFormat="1" x14ac:dyDescent="0.3"/>
    <row r="116" s="23" customFormat="1" x14ac:dyDescent="0.3"/>
    <row r="117" s="23" customFormat="1" x14ac:dyDescent="0.3"/>
    <row r="118" s="23" customFormat="1" x14ac:dyDescent="0.3"/>
    <row r="119" s="23" customFormat="1" x14ac:dyDescent="0.3"/>
    <row r="120" s="23" customFormat="1" x14ac:dyDescent="0.3"/>
    <row r="121" s="23" customFormat="1" x14ac:dyDescent="0.3"/>
    <row r="122" s="23" customFormat="1" x14ac:dyDescent="0.3"/>
    <row r="123" s="23" customFormat="1" x14ac:dyDescent="0.3"/>
    <row r="124" s="23" customFormat="1" x14ac:dyDescent="0.3"/>
    <row r="125" s="23" customFormat="1" x14ac:dyDescent="0.3"/>
    <row r="126" s="23" customFormat="1" x14ac:dyDescent="0.3"/>
    <row r="127" s="23" customFormat="1" x14ac:dyDescent="0.3"/>
    <row r="128" s="23" customFormat="1" x14ac:dyDescent="0.3"/>
    <row r="129" s="23" customFormat="1" x14ac:dyDescent="0.3"/>
    <row r="130" s="23" customFormat="1" x14ac:dyDescent="0.3"/>
    <row r="131" s="23" customFormat="1" x14ac:dyDescent="0.3"/>
    <row r="132" s="23" customFormat="1" x14ac:dyDescent="0.3"/>
    <row r="133" s="23" customFormat="1" x14ac:dyDescent="0.3"/>
    <row r="134" s="23" customFormat="1" x14ac:dyDescent="0.3"/>
    <row r="135" s="23" customFormat="1" x14ac:dyDescent="0.3"/>
    <row r="136" s="23" customFormat="1" x14ac:dyDescent="0.3"/>
    <row r="137" s="23" customFormat="1" x14ac:dyDescent="0.3"/>
    <row r="138" s="23" customFormat="1" x14ac:dyDescent="0.3"/>
    <row r="139" s="23" customFormat="1" x14ac:dyDescent="0.3"/>
    <row r="140" s="23" customFormat="1" x14ac:dyDescent="0.3"/>
    <row r="141" s="23" customFormat="1" x14ac:dyDescent="0.3"/>
    <row r="142" s="23" customFormat="1" x14ac:dyDescent="0.3"/>
    <row r="143" s="23" customFormat="1" x14ac:dyDescent="0.3"/>
    <row r="144" s="23" customFormat="1" x14ac:dyDescent="0.3"/>
    <row r="145" s="23" customFormat="1" x14ac:dyDescent="0.3"/>
    <row r="146" s="23" customFormat="1" x14ac:dyDescent="0.3"/>
    <row r="147" s="23" customFormat="1" x14ac:dyDescent="0.3"/>
    <row r="148" s="23" customFormat="1" x14ac:dyDescent="0.3"/>
    <row r="149" s="23" customFormat="1" x14ac:dyDescent="0.3"/>
    <row r="150" s="23" customFormat="1" x14ac:dyDescent="0.3"/>
    <row r="151" s="23" customFormat="1" x14ac:dyDescent="0.3"/>
    <row r="152" s="23" customFormat="1" x14ac:dyDescent="0.3"/>
    <row r="153" s="23" customFormat="1" x14ac:dyDescent="0.3"/>
    <row r="154" s="23" customFormat="1" x14ac:dyDescent="0.3"/>
    <row r="155" s="23" customFormat="1" x14ac:dyDescent="0.3"/>
    <row r="156" s="23" customFormat="1" x14ac:dyDescent="0.3"/>
    <row r="157" s="23" customFormat="1" x14ac:dyDescent="0.3"/>
  </sheetData>
  <mergeCells count="83">
    <mergeCell ref="L86:M86"/>
    <mergeCell ref="B87:C87"/>
    <mergeCell ref="D87:E87"/>
    <mergeCell ref="L87:M87"/>
    <mergeCell ref="L88:M88"/>
    <mergeCell ref="B83:C83"/>
    <mergeCell ref="D83:E83"/>
    <mergeCell ref="L83:M83"/>
    <mergeCell ref="L84:M84"/>
    <mergeCell ref="B85:C85"/>
    <mergeCell ref="D85:E85"/>
    <mergeCell ref="L85:M85"/>
    <mergeCell ref="B80:C80"/>
    <mergeCell ref="D80:E80"/>
    <mergeCell ref="L80:M80"/>
    <mergeCell ref="B81:C81"/>
    <mergeCell ref="D81:E81"/>
    <mergeCell ref="L81:M81"/>
    <mergeCell ref="B78:C78"/>
    <mergeCell ref="D78:E78"/>
    <mergeCell ref="L78:M78"/>
    <mergeCell ref="B79:C79"/>
    <mergeCell ref="D79:E79"/>
    <mergeCell ref="L79:M79"/>
    <mergeCell ref="L75:M75"/>
    <mergeCell ref="B76:C76"/>
    <mergeCell ref="D76:E76"/>
    <mergeCell ref="L76:M76"/>
    <mergeCell ref="B77:C77"/>
    <mergeCell ref="D77:E77"/>
    <mergeCell ref="L77:M77"/>
    <mergeCell ref="B73:C73"/>
    <mergeCell ref="D73:E73"/>
    <mergeCell ref="L73:M73"/>
    <mergeCell ref="B74:C74"/>
    <mergeCell ref="D74:E74"/>
    <mergeCell ref="L74:M74"/>
    <mergeCell ref="B71:C71"/>
    <mergeCell ref="D71:E71"/>
    <mergeCell ref="L71:M71"/>
    <mergeCell ref="B72:C72"/>
    <mergeCell ref="D72:E72"/>
    <mergeCell ref="L72:M72"/>
    <mergeCell ref="B69:C69"/>
    <mergeCell ref="D69:E69"/>
    <mergeCell ref="L69:M69"/>
    <mergeCell ref="B70:C70"/>
    <mergeCell ref="D70:E70"/>
    <mergeCell ref="L70:M70"/>
    <mergeCell ref="B68:C68"/>
    <mergeCell ref="D68:E68"/>
    <mergeCell ref="L68:M68"/>
    <mergeCell ref="B64:C64"/>
    <mergeCell ref="D64:E64"/>
    <mergeCell ref="L64:M64"/>
    <mergeCell ref="B65:C65"/>
    <mergeCell ref="D65:E65"/>
    <mergeCell ref="L65:M65"/>
    <mergeCell ref="B66:C66"/>
    <mergeCell ref="L66:M66"/>
    <mergeCell ref="B67:C67"/>
    <mergeCell ref="D67:E67"/>
    <mergeCell ref="L67:M67"/>
    <mergeCell ref="B62:C62"/>
    <mergeCell ref="D62:E62"/>
    <mergeCell ref="L62:M62"/>
    <mergeCell ref="B63:C63"/>
    <mergeCell ref="D63:E63"/>
    <mergeCell ref="L63:M63"/>
    <mergeCell ref="U4:V4"/>
    <mergeCell ref="W4:X4"/>
    <mergeCell ref="B60:C60"/>
    <mergeCell ref="D60:E60"/>
    <mergeCell ref="L60:M60"/>
    <mergeCell ref="B61:C61"/>
    <mergeCell ref="D61:E61"/>
    <mergeCell ref="L61:M61"/>
    <mergeCell ref="Q2:R2"/>
    <mergeCell ref="B3:D3"/>
    <mergeCell ref="F3:H3"/>
    <mergeCell ref="J3:K3"/>
    <mergeCell ref="M3:O3"/>
    <mergeCell ref="Q3:R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39D5-2BA1-4857-B1E7-4C935FC17E3F}">
  <sheetPr codeName="Blad8">
    <tabColor theme="5" tint="-0.499984740745262"/>
  </sheetPr>
  <dimension ref="A1:AW124"/>
  <sheetViews>
    <sheetView topLeftCell="E1" workbookViewId="0">
      <selection activeCell="Z2" sqref="Z2:Z25"/>
    </sheetView>
  </sheetViews>
  <sheetFormatPr defaultColWidth="11" defaultRowHeight="15.6" x14ac:dyDescent="0.3"/>
  <cols>
    <col min="1" max="1" width="5.8984375" style="23" customWidth="1"/>
    <col min="2" max="2" width="12.3984375" customWidth="1"/>
    <col min="3" max="3" width="14.09765625" customWidth="1"/>
    <col min="4" max="4" width="13.69921875" customWidth="1"/>
    <col min="5" max="5" width="2" style="23" customWidth="1"/>
    <col min="6" max="8" width="12.8984375" customWidth="1"/>
    <col min="9" max="9" width="2.19921875" style="23" customWidth="1"/>
    <col min="10" max="11" width="12.19921875" customWidth="1"/>
    <col min="12" max="12" width="2.19921875" style="23" customWidth="1"/>
    <col min="13" max="13" width="11.5" customWidth="1"/>
    <col min="14" max="14" width="11.3984375" customWidth="1"/>
    <col min="15" max="15" width="11.69921875" customWidth="1"/>
    <col min="16" max="16" width="1.59765625" style="23" customWidth="1"/>
    <col min="17" max="19" width="9.5" style="23" customWidth="1"/>
    <col min="20" max="20" width="1.59765625" style="23" customWidth="1"/>
    <col min="21" max="26" width="11.8984375" customWidth="1"/>
    <col min="27" max="49" width="11" style="23"/>
  </cols>
  <sheetData>
    <row r="1" spans="1:49" s="23" customFormat="1" ht="16.2" thickBot="1" x14ac:dyDescent="0.35">
      <c r="A1" s="24" t="s">
        <v>56</v>
      </c>
    </row>
    <row r="2" spans="1:49" s="23" customFormat="1" ht="16.2" thickBot="1" x14ac:dyDescent="0.35">
      <c r="A2" s="24"/>
      <c r="Q2" s="331" t="s">
        <v>57</v>
      </c>
      <c r="R2" s="332"/>
      <c r="S2" s="333"/>
      <c r="U2" s="120"/>
      <c r="V2" s="4" t="s">
        <v>58</v>
      </c>
      <c r="W2" s="84">
        <f>'Input en resultaat'!M29</f>
        <v>0.5</v>
      </c>
      <c r="X2" s="5" t="s">
        <v>58</v>
      </c>
      <c r="Y2" s="85">
        <f>'Input en resultaat'!M27</f>
        <v>0.8</v>
      </c>
      <c r="Z2" s="7"/>
    </row>
    <row r="3" spans="1:49" s="1" customFormat="1" ht="16.2" thickBot="1" x14ac:dyDescent="0.35">
      <c r="A3" s="24"/>
      <c r="B3" s="296" t="s">
        <v>122</v>
      </c>
      <c r="C3" s="296"/>
      <c r="D3" s="296"/>
      <c r="E3" s="24"/>
      <c r="F3" s="299" t="s">
        <v>60</v>
      </c>
      <c r="G3" s="299"/>
      <c r="H3" s="299"/>
      <c r="I3" s="24"/>
      <c r="J3" s="297" t="s">
        <v>123</v>
      </c>
      <c r="K3" s="297"/>
      <c r="L3" s="24"/>
      <c r="M3" s="298" t="s">
        <v>124</v>
      </c>
      <c r="N3" s="298"/>
      <c r="O3" s="298"/>
      <c r="P3" s="27"/>
      <c r="Q3" s="335" t="s">
        <v>63</v>
      </c>
      <c r="R3" s="336"/>
      <c r="S3" s="337"/>
      <c r="T3" s="27"/>
      <c r="U3" s="142"/>
      <c r="V3" s="8"/>
      <c r="W3" s="86">
        <f>'Input en resultaat'!M28</f>
        <v>70</v>
      </c>
      <c r="X3" s="9"/>
      <c r="Y3" s="87">
        <f>'Input en resultaat'!M26</f>
        <v>70</v>
      </c>
      <c r="Z3" s="90" t="s">
        <v>57</v>
      </c>
      <c r="AA3" s="24"/>
      <c r="AB3" s="24"/>
      <c r="AC3" s="24"/>
      <c r="AD3" s="24"/>
      <c r="AE3" s="24"/>
      <c r="AF3" s="24"/>
      <c r="AG3" s="24"/>
      <c r="AH3" s="24"/>
      <c r="AI3" s="24"/>
      <c r="AJ3" s="24"/>
      <c r="AK3" s="24"/>
      <c r="AL3" s="24"/>
      <c r="AM3" s="24"/>
      <c r="AN3" s="24"/>
      <c r="AO3" s="24"/>
      <c r="AP3" s="24"/>
      <c r="AQ3" s="24"/>
      <c r="AR3" s="24"/>
      <c r="AS3" s="24"/>
      <c r="AT3" s="24"/>
      <c r="AU3" s="24"/>
      <c r="AV3" s="24"/>
      <c r="AW3" s="24"/>
    </row>
    <row r="4" spans="1:49" s="2" customFormat="1" ht="31.8" thickBot="1" x14ac:dyDescent="0.35">
      <c r="A4" s="25"/>
      <c r="B4" s="34" t="s">
        <v>125</v>
      </c>
      <c r="C4" s="34" t="s">
        <v>64</v>
      </c>
      <c r="D4" s="34" t="s">
        <v>65</v>
      </c>
      <c r="E4" s="25"/>
      <c r="F4" s="39" t="s">
        <v>66</v>
      </c>
      <c r="G4" s="39" t="s">
        <v>67</v>
      </c>
      <c r="H4" s="39" t="s">
        <v>68</v>
      </c>
      <c r="I4" s="25"/>
      <c r="J4" s="41" t="s">
        <v>69</v>
      </c>
      <c r="K4" s="41" t="s">
        <v>65</v>
      </c>
      <c r="L4" s="25"/>
      <c r="M4" s="43" t="s">
        <v>70</v>
      </c>
      <c r="N4" s="43" t="s">
        <v>71</v>
      </c>
      <c r="O4" s="43" t="s">
        <v>150</v>
      </c>
      <c r="P4" s="28"/>
      <c r="Q4" s="80" t="s">
        <v>134</v>
      </c>
      <c r="R4" s="80" t="s">
        <v>157</v>
      </c>
      <c r="S4" s="80" t="s">
        <v>158</v>
      </c>
      <c r="T4" s="28"/>
      <c r="U4" s="121" t="s">
        <v>74</v>
      </c>
      <c r="V4" s="292" t="s">
        <v>75</v>
      </c>
      <c r="W4" s="293"/>
      <c r="X4" s="294" t="s">
        <v>76</v>
      </c>
      <c r="Y4" s="295"/>
      <c r="Z4" s="12" t="s">
        <v>77</v>
      </c>
      <c r="AA4" s="25"/>
      <c r="AB4" s="24" t="s">
        <v>159</v>
      </c>
      <c r="AC4" s="25"/>
      <c r="AD4" s="25"/>
      <c r="AE4" s="25"/>
      <c r="AF4" s="25"/>
      <c r="AG4" s="25"/>
      <c r="AH4" s="25"/>
      <c r="AI4" s="25"/>
      <c r="AJ4" s="25"/>
      <c r="AK4" s="25"/>
      <c r="AL4" s="25"/>
      <c r="AM4" s="25"/>
      <c r="AN4" s="25"/>
      <c r="AO4" s="25"/>
      <c r="AP4" s="25"/>
      <c r="AQ4" s="25"/>
      <c r="AR4" s="25"/>
      <c r="AS4" s="25"/>
      <c r="AT4" s="25"/>
      <c r="AU4" s="25"/>
      <c r="AV4" s="25"/>
      <c r="AW4" s="25"/>
    </row>
    <row r="5" spans="1:49" x14ac:dyDescent="0.3">
      <c r="A5" s="23">
        <v>2023</v>
      </c>
      <c r="B5" s="35">
        <f>F5</f>
        <v>1552</v>
      </c>
      <c r="C5" s="36">
        <f>J5</f>
        <v>-11251</v>
      </c>
      <c r="D5" s="36">
        <f>K5</f>
        <v>-4951</v>
      </c>
      <c r="E5" s="26"/>
      <c r="F5" s="40">
        <f>Mais!F5</f>
        <v>1552</v>
      </c>
      <c r="G5" s="40">
        <f>Mais!G5</f>
        <v>2924</v>
      </c>
      <c r="H5" s="40">
        <f>Mais!H5</f>
        <v>1372</v>
      </c>
      <c r="I5" s="26"/>
      <c r="J5" s="42">
        <f t="shared" ref="J5:J25" si="0">U5+Z5-M5-N5-O5</f>
        <v>-11251</v>
      </c>
      <c r="K5" s="42">
        <f t="shared" ref="K5:K25" si="1">J5+W5+Y5</f>
        <v>-4951</v>
      </c>
      <c r="L5" s="30"/>
      <c r="M5" s="44">
        <v>10725</v>
      </c>
      <c r="N5" s="44">
        <v>1000</v>
      </c>
      <c r="O5" s="44">
        <f>0+'Input en resultaat'!K$7+'Input en resultaat'!M$7</f>
        <v>0</v>
      </c>
      <c r="P5" s="29"/>
      <c r="Q5" s="80">
        <v>0</v>
      </c>
      <c r="R5" s="117">
        <v>0</v>
      </c>
      <c r="S5" s="117">
        <v>0</v>
      </c>
      <c r="T5" s="29"/>
      <c r="U5" s="122">
        <f>Q5*'Input en resultaat'!M$23+R5*AD$6+S5*AD$5</f>
        <v>0</v>
      </c>
      <c r="V5" s="14">
        <f>(12*15)</f>
        <v>180</v>
      </c>
      <c r="W5" s="127">
        <f>V5*W$3*W$2</f>
        <v>6300</v>
      </c>
      <c r="X5" s="123">
        <f>1.87*Q5*'Input en resultaat'!M$25</f>
        <v>0</v>
      </c>
      <c r="Y5" s="89">
        <f t="shared" ref="Y5:Y25" si="2">X5*(Y$3*Y$2)</f>
        <v>0</v>
      </c>
      <c r="Z5" s="17">
        <f>'Input en resultaat'!M$30+'Input en resultaat'!M$31</f>
        <v>474</v>
      </c>
      <c r="AB5" s="23" t="s">
        <v>160</v>
      </c>
      <c r="AD5" s="30">
        <v>6000</v>
      </c>
      <c r="AE5" s="119" t="s">
        <v>161</v>
      </c>
    </row>
    <row r="6" spans="1:49" x14ac:dyDescent="0.3">
      <c r="A6" s="23">
        <v>2024</v>
      </c>
      <c r="B6" s="35">
        <f t="shared" ref="B6:B25" si="3">B5+F6</f>
        <v>3104</v>
      </c>
      <c r="C6" s="36">
        <f t="shared" ref="C6:D21" si="4">C5+J6</f>
        <v>-11777</v>
      </c>
      <c r="D6" s="36">
        <f t="shared" si="4"/>
        <v>-5477</v>
      </c>
      <c r="E6" s="26"/>
      <c r="F6" s="40">
        <f>Mais!F6</f>
        <v>1552</v>
      </c>
      <c r="G6" s="40">
        <f>Mais!G6</f>
        <v>2924</v>
      </c>
      <c r="H6" s="40">
        <f>Mais!H6</f>
        <v>1372</v>
      </c>
      <c r="I6" s="26"/>
      <c r="J6" s="42">
        <f t="shared" si="0"/>
        <v>-526</v>
      </c>
      <c r="K6" s="42">
        <f t="shared" si="1"/>
        <v>-526</v>
      </c>
      <c r="L6" s="30"/>
      <c r="M6" s="44">
        <v>0</v>
      </c>
      <c r="N6" s="44">
        <v>1000</v>
      </c>
      <c r="O6" s="44">
        <f>0+'Input en resultaat'!K$7+'Input en resultaat'!M$7</f>
        <v>0</v>
      </c>
      <c r="P6" s="29"/>
      <c r="Q6" s="81">
        <v>0</v>
      </c>
      <c r="R6" s="118">
        <v>0</v>
      </c>
      <c r="S6" s="118">
        <v>0</v>
      </c>
      <c r="T6" s="29"/>
      <c r="U6" s="122">
        <f>Q6*'Input en resultaat'!M$23+R6*AD$6+S6*AD$5</f>
        <v>0</v>
      </c>
      <c r="V6" s="14">
        <v>0</v>
      </c>
      <c r="W6" s="112">
        <f t="shared" ref="W6:W25" si="5">V6*W$3*W$2</f>
        <v>0</v>
      </c>
      <c r="X6" s="124">
        <f>1.87*Q6*'Input en resultaat'!M$25</f>
        <v>0</v>
      </c>
      <c r="Y6" s="16">
        <f t="shared" si="2"/>
        <v>0</v>
      </c>
      <c r="Z6" s="17">
        <f>'Input en resultaat'!M$30+'Input en resultaat'!M$31</f>
        <v>474</v>
      </c>
      <c r="AB6" s="23" t="s">
        <v>162</v>
      </c>
      <c r="AD6" s="30">
        <v>2000</v>
      </c>
      <c r="AE6" s="119" t="s">
        <v>161</v>
      </c>
    </row>
    <row r="7" spans="1:49" x14ac:dyDescent="0.3">
      <c r="A7" s="23">
        <v>2025</v>
      </c>
      <c r="B7" s="35">
        <f t="shared" si="3"/>
        <v>4656</v>
      </c>
      <c r="C7" s="36">
        <f t="shared" si="4"/>
        <v>-12303</v>
      </c>
      <c r="D7" s="36">
        <f t="shared" si="4"/>
        <v>-6003</v>
      </c>
      <c r="E7" s="26"/>
      <c r="F7" s="40">
        <f>Mais!F7</f>
        <v>1552</v>
      </c>
      <c r="G7" s="40">
        <f>Mais!G7</f>
        <v>2924</v>
      </c>
      <c r="H7" s="40">
        <f>Mais!H7</f>
        <v>1372</v>
      </c>
      <c r="I7" s="26"/>
      <c r="J7" s="42">
        <f t="shared" si="0"/>
        <v>-526</v>
      </c>
      <c r="K7" s="42">
        <f t="shared" si="1"/>
        <v>-526</v>
      </c>
      <c r="L7" s="30"/>
      <c r="M7" s="44">
        <v>0</v>
      </c>
      <c r="N7" s="44">
        <v>1000</v>
      </c>
      <c r="O7" s="44">
        <f>0+'Input en resultaat'!K$7+'Input en resultaat'!M$7</f>
        <v>0</v>
      </c>
      <c r="P7" s="29"/>
      <c r="Q7" s="81">
        <v>0</v>
      </c>
      <c r="R7" s="118">
        <v>0</v>
      </c>
      <c r="S7" s="118">
        <v>0</v>
      </c>
      <c r="T7" s="29"/>
      <c r="U7" s="122">
        <f>Q7*'Input en resultaat'!M$23+R7*AD$6+S7*AD$5</f>
        <v>0</v>
      </c>
      <c r="V7" s="14">
        <v>0</v>
      </c>
      <c r="W7" s="112">
        <f t="shared" si="5"/>
        <v>0</v>
      </c>
      <c r="X7" s="124">
        <f>1.87*Q7*'Input en resultaat'!M$25</f>
        <v>0</v>
      </c>
      <c r="Y7" s="16">
        <f t="shared" si="2"/>
        <v>0</v>
      </c>
      <c r="Z7" s="17">
        <f>'Input en resultaat'!M$30+'Input en resultaat'!M$31</f>
        <v>474</v>
      </c>
    </row>
    <row r="8" spans="1:49" x14ac:dyDescent="0.3">
      <c r="A8" s="23">
        <v>2026</v>
      </c>
      <c r="B8" s="35">
        <f t="shared" si="3"/>
        <v>6208</v>
      </c>
      <c r="C8" s="36">
        <f t="shared" si="4"/>
        <v>-12727</v>
      </c>
      <c r="D8" s="36">
        <f t="shared" si="4"/>
        <v>-6301.3360000000002</v>
      </c>
      <c r="E8" s="26"/>
      <c r="F8" s="40">
        <f>Mais!F8</f>
        <v>1552</v>
      </c>
      <c r="G8" s="40">
        <f>Mais!G8</f>
        <v>2924</v>
      </c>
      <c r="H8" s="40">
        <f>Mais!H8</f>
        <v>1372</v>
      </c>
      <c r="I8" s="26"/>
      <c r="J8" s="42">
        <f t="shared" si="0"/>
        <v>-424</v>
      </c>
      <c r="K8" s="42">
        <f t="shared" si="1"/>
        <v>-298.33600000000001</v>
      </c>
      <c r="L8" s="30"/>
      <c r="M8" s="44">
        <v>0</v>
      </c>
      <c r="N8" s="44">
        <v>1000</v>
      </c>
      <c r="O8" s="44">
        <f>18+'Input en resultaat'!K$7+'Input en resultaat'!M$7</f>
        <v>18</v>
      </c>
      <c r="P8" s="29"/>
      <c r="Q8" s="81">
        <v>1.5</v>
      </c>
      <c r="R8" s="118">
        <v>0</v>
      </c>
      <c r="S8" s="118">
        <v>0</v>
      </c>
      <c r="T8" s="29"/>
      <c r="U8" s="122">
        <f>Q8*'Input en resultaat'!M$23+R8*AD$6+S8*AD$5</f>
        <v>120</v>
      </c>
      <c r="V8" s="14">
        <v>0</v>
      </c>
      <c r="W8" s="112">
        <f t="shared" si="5"/>
        <v>0</v>
      </c>
      <c r="X8" s="124">
        <f>1.87*Q8*'Input en resultaat'!M$25</f>
        <v>2.2440000000000002</v>
      </c>
      <c r="Y8" s="16">
        <f t="shared" si="2"/>
        <v>125.66400000000002</v>
      </c>
      <c r="Z8" s="17">
        <f>'Input en resultaat'!M$30+'Input en resultaat'!M$31</f>
        <v>474</v>
      </c>
    </row>
    <row r="9" spans="1:49" x14ac:dyDescent="0.3">
      <c r="A9" s="23">
        <v>2027</v>
      </c>
      <c r="B9" s="35">
        <f t="shared" si="3"/>
        <v>7760</v>
      </c>
      <c r="C9" s="36">
        <f t="shared" si="4"/>
        <v>-12410.071625344352</v>
      </c>
      <c r="D9" s="36">
        <f t="shared" si="4"/>
        <v>-5816.8556253443521</v>
      </c>
      <c r="E9" s="26"/>
      <c r="F9" s="40">
        <f>Mais!F9</f>
        <v>1552</v>
      </c>
      <c r="G9" s="40">
        <f>Mais!G9</f>
        <v>2924</v>
      </c>
      <c r="H9" s="40">
        <f>Mais!H9</f>
        <v>1372</v>
      </c>
      <c r="I9" s="26"/>
      <c r="J9" s="42">
        <f t="shared" si="0"/>
        <v>316.92837465564781</v>
      </c>
      <c r="K9" s="42">
        <f t="shared" si="1"/>
        <v>484.48037465564784</v>
      </c>
      <c r="L9" s="30"/>
      <c r="M9" s="44">
        <v>0</v>
      </c>
      <c r="N9" s="44">
        <v>1000</v>
      </c>
      <c r="O9" s="44">
        <f>148.752066115702+'Input en resultaat'!K$7+'Input en resultaat'!M$7</f>
        <v>148.75206611570201</v>
      </c>
      <c r="P9" s="29"/>
      <c r="Q9" s="81">
        <v>2</v>
      </c>
      <c r="R9" s="118">
        <v>0.41584022038567492</v>
      </c>
      <c r="S9" s="118">
        <v>0</v>
      </c>
      <c r="T9" s="29"/>
      <c r="U9" s="122">
        <f>Q9*'Input en resultaat'!M$23+R9*AD$6+S9*AD$5</f>
        <v>991.68044077134982</v>
      </c>
      <c r="V9" s="14">
        <v>0</v>
      </c>
      <c r="W9" s="112">
        <f t="shared" si="5"/>
        <v>0</v>
      </c>
      <c r="X9" s="124">
        <f>1.87*Q9*'Input en resultaat'!M$25</f>
        <v>2.9920000000000004</v>
      </c>
      <c r="Y9" s="16">
        <f t="shared" si="2"/>
        <v>167.55200000000002</v>
      </c>
      <c r="Z9" s="17">
        <f>'Input en resultaat'!M$30+'Input en resultaat'!M$31</f>
        <v>474</v>
      </c>
    </row>
    <row r="10" spans="1:49" x14ac:dyDescent="0.3">
      <c r="A10" s="23">
        <v>2028</v>
      </c>
      <c r="B10" s="35">
        <f t="shared" si="3"/>
        <v>9312</v>
      </c>
      <c r="C10" s="36">
        <f t="shared" si="4"/>
        <v>-11250.214876033056</v>
      </c>
      <c r="D10" s="36">
        <f t="shared" si="4"/>
        <v>-4321.8948760330577</v>
      </c>
      <c r="E10" s="26"/>
      <c r="F10" s="40">
        <f>Mais!F10</f>
        <v>1552</v>
      </c>
      <c r="G10" s="40">
        <f>Mais!G10</f>
        <v>2924</v>
      </c>
      <c r="H10" s="40">
        <f>Mais!H10</f>
        <v>1372</v>
      </c>
      <c r="I10" s="26"/>
      <c r="J10" s="42">
        <f t="shared" si="0"/>
        <v>1159.8567493112946</v>
      </c>
      <c r="K10" s="42">
        <f t="shared" si="1"/>
        <v>1494.9607493112946</v>
      </c>
      <c r="L10" s="30"/>
      <c r="M10" s="44">
        <v>0</v>
      </c>
      <c r="N10" s="44">
        <v>1000</v>
      </c>
      <c r="O10" s="44">
        <f>297.504132231405++'Input en resultaat'!K$7+'Input en resultaat'!M$7</f>
        <v>297.50413223140498</v>
      </c>
      <c r="P10" s="29"/>
      <c r="Q10" s="81">
        <v>4</v>
      </c>
      <c r="R10" s="118">
        <v>0.83168044077134984</v>
      </c>
      <c r="S10" s="118">
        <v>0</v>
      </c>
      <c r="T10" s="29"/>
      <c r="U10" s="122">
        <f>Q10*'Input en resultaat'!M$23+R10*AD$6+S10*AD$5</f>
        <v>1983.3608815426996</v>
      </c>
      <c r="V10" s="14">
        <v>0</v>
      </c>
      <c r="W10" s="112">
        <f t="shared" si="5"/>
        <v>0</v>
      </c>
      <c r="X10" s="124">
        <f>1.87*Q10*'Input en resultaat'!M$25</f>
        <v>5.9840000000000009</v>
      </c>
      <c r="Y10" s="16">
        <f t="shared" si="2"/>
        <v>335.10400000000004</v>
      </c>
      <c r="Z10" s="17">
        <f>'Input en resultaat'!M$30+'Input en resultaat'!M$31</f>
        <v>474</v>
      </c>
    </row>
    <row r="11" spans="1:49" x14ac:dyDescent="0.3">
      <c r="A11" s="23">
        <v>2029</v>
      </c>
      <c r="B11" s="35">
        <f t="shared" si="3"/>
        <v>10864</v>
      </c>
      <c r="C11" s="36">
        <f t="shared" si="4"/>
        <v>-8501.4400137741031</v>
      </c>
      <c r="D11" s="36">
        <f t="shared" si="4"/>
        <v>-1154.2400137741042</v>
      </c>
      <c r="E11" s="26"/>
      <c r="F11" s="40">
        <f>Mais!F11</f>
        <v>1552</v>
      </c>
      <c r="G11" s="40">
        <f>Mais!G11</f>
        <v>2924</v>
      </c>
      <c r="H11" s="40">
        <f>Mais!H11</f>
        <v>1372</v>
      </c>
      <c r="I11" s="26"/>
      <c r="J11" s="42">
        <f t="shared" si="0"/>
        <v>2748.7748622589534</v>
      </c>
      <c r="K11" s="42">
        <f t="shared" si="1"/>
        <v>3167.6548622589535</v>
      </c>
      <c r="L11" s="30"/>
      <c r="M11" s="44">
        <v>0</v>
      </c>
      <c r="N11" s="44">
        <v>1000</v>
      </c>
      <c r="O11" s="44">
        <f>577.901446280992+'Input en resultaat'!K$7+'Input en resultaat'!M$7</f>
        <v>577.90144628099199</v>
      </c>
      <c r="P11" s="29"/>
      <c r="Q11" s="81">
        <v>5</v>
      </c>
      <c r="R11" s="118">
        <v>1.6633608815426997</v>
      </c>
      <c r="S11" s="118">
        <v>2.099242424242424E-2</v>
      </c>
      <c r="T11" s="29"/>
      <c r="U11" s="122">
        <f>Q11*'Input en resultaat'!M$23+R11*AD$6+S11*AD$5</f>
        <v>3852.6763085399448</v>
      </c>
      <c r="V11" s="14">
        <v>0</v>
      </c>
      <c r="W11" s="112">
        <f t="shared" si="5"/>
        <v>0</v>
      </c>
      <c r="X11" s="124">
        <f>1.87*Q11*'Input en resultaat'!M$25</f>
        <v>7.4800000000000013</v>
      </c>
      <c r="Y11" s="16">
        <f t="shared" si="2"/>
        <v>418.88000000000005</v>
      </c>
      <c r="Z11" s="17">
        <f>'Input en resultaat'!M$30+'Input en resultaat'!M$31</f>
        <v>474</v>
      </c>
      <c r="AB11" s="334" t="s">
        <v>163</v>
      </c>
      <c r="AC11" s="334"/>
      <c r="AD11" s="334"/>
      <c r="AE11" s="334"/>
    </row>
    <row r="12" spans="1:49" x14ac:dyDescent="0.3">
      <c r="A12" s="23">
        <v>2030</v>
      </c>
      <c r="B12" s="35">
        <f t="shared" si="3"/>
        <v>12416</v>
      </c>
      <c r="C12" s="36">
        <f t="shared" si="4"/>
        <v>-3375.2561294765828</v>
      </c>
      <c r="D12" s="36">
        <f t="shared" si="4"/>
        <v>4390.8238705234162</v>
      </c>
      <c r="E12" s="26"/>
      <c r="F12" s="40">
        <f>Mais!F12</f>
        <v>1552</v>
      </c>
      <c r="G12" s="40">
        <f>Mais!G12</f>
        <v>2924</v>
      </c>
      <c r="H12" s="40">
        <f>Mais!H12</f>
        <v>1372</v>
      </c>
      <c r="I12" s="26"/>
      <c r="J12" s="42">
        <f t="shared" si="0"/>
        <v>5126.1838842975203</v>
      </c>
      <c r="K12" s="42">
        <f t="shared" si="1"/>
        <v>5545.0638842975204</v>
      </c>
      <c r="L12" s="30"/>
      <c r="M12" s="44">
        <v>0</v>
      </c>
      <c r="N12" s="44">
        <v>1000</v>
      </c>
      <c r="O12" s="44">
        <f>997.444214876033+'Input en resultaat'!K$7+'Input en resultaat'!M$7</f>
        <v>997.44421487603302</v>
      </c>
      <c r="P12" s="29"/>
      <c r="Q12" s="81">
        <v>5</v>
      </c>
      <c r="R12" s="118">
        <v>2.4950413223140493</v>
      </c>
      <c r="S12" s="118">
        <v>0.20992424242424237</v>
      </c>
      <c r="T12" s="29"/>
      <c r="U12" s="122">
        <f>Q12*'Input en resultaat'!M$23+R12*AD$6+S12*AD$5</f>
        <v>6649.628099173553</v>
      </c>
      <c r="V12" s="14">
        <v>0</v>
      </c>
      <c r="W12" s="112">
        <f t="shared" si="5"/>
        <v>0</v>
      </c>
      <c r="X12" s="124">
        <f>1.87*Q12*'Input en resultaat'!M$25</f>
        <v>7.4800000000000013</v>
      </c>
      <c r="Y12" s="16">
        <f t="shared" si="2"/>
        <v>418.88000000000005</v>
      </c>
      <c r="Z12" s="17">
        <f>'Input en resultaat'!M$30+'Input en resultaat'!M$31</f>
        <v>474</v>
      </c>
      <c r="AB12" s="334"/>
      <c r="AC12" s="334"/>
      <c r="AD12" s="334"/>
      <c r="AE12" s="334"/>
    </row>
    <row r="13" spans="1:49" x14ac:dyDescent="0.3">
      <c r="A13" s="23">
        <v>2031</v>
      </c>
      <c r="B13" s="35">
        <f t="shared" si="3"/>
        <v>13968</v>
      </c>
      <c r="C13" s="36">
        <f t="shared" si="4"/>
        <v>2286.2345730027582</v>
      </c>
      <c r="D13" s="36">
        <f t="shared" si="4"/>
        <v>10471.194573002758</v>
      </c>
      <c r="E13" s="26"/>
      <c r="F13" s="40">
        <f>Mais!F13</f>
        <v>1552</v>
      </c>
      <c r="G13" s="40">
        <f>Mais!G13</f>
        <v>2924</v>
      </c>
      <c r="H13" s="40">
        <f>Mais!H13</f>
        <v>1372</v>
      </c>
      <c r="I13" s="26"/>
      <c r="J13" s="42">
        <f t="shared" si="0"/>
        <v>5661.4907024793411</v>
      </c>
      <c r="K13" s="42">
        <f t="shared" si="1"/>
        <v>6080.3707024793412</v>
      </c>
      <c r="L13" s="30"/>
      <c r="M13" s="44">
        <v>0</v>
      </c>
      <c r="N13" s="44">
        <v>1000</v>
      </c>
      <c r="O13" s="44">
        <f>1091.91012396694+'Input en resultaat'!K$7+'Input en resultaat'!M$7</f>
        <v>1091.9101239669401</v>
      </c>
      <c r="P13" s="29"/>
      <c r="Q13" s="81">
        <v>5</v>
      </c>
      <c r="R13" s="118">
        <v>2.4950413223140493</v>
      </c>
      <c r="S13" s="118">
        <v>0.31488636363636358</v>
      </c>
      <c r="T13" s="29"/>
      <c r="U13" s="122">
        <f>Q13*'Input en resultaat'!M$23+R13*AD$6+S13*AD$5</f>
        <v>7279.4008264462809</v>
      </c>
      <c r="V13" s="14">
        <v>0</v>
      </c>
      <c r="W13" s="112">
        <f t="shared" si="5"/>
        <v>0</v>
      </c>
      <c r="X13" s="124">
        <f>1.87*Q13*'Input en resultaat'!M$25</f>
        <v>7.4800000000000013</v>
      </c>
      <c r="Y13" s="16">
        <f t="shared" si="2"/>
        <v>418.88000000000005</v>
      </c>
      <c r="Z13" s="17">
        <f>'Input en resultaat'!M$30+'Input en resultaat'!M$31</f>
        <v>474</v>
      </c>
      <c r="AB13" s="334"/>
      <c r="AC13" s="334"/>
      <c r="AD13" s="334"/>
      <c r="AE13" s="334"/>
    </row>
    <row r="14" spans="1:49" x14ac:dyDescent="0.3">
      <c r="A14" s="23">
        <v>2032</v>
      </c>
      <c r="B14" s="35">
        <f t="shared" si="3"/>
        <v>15520</v>
      </c>
      <c r="C14" s="36">
        <f t="shared" si="4"/>
        <v>8483.0320936639146</v>
      </c>
      <c r="D14" s="36">
        <f t="shared" si="4"/>
        <v>17086.872093663915</v>
      </c>
      <c r="E14" s="26"/>
      <c r="F14" s="40">
        <f>Mais!F14</f>
        <v>1552</v>
      </c>
      <c r="G14" s="40">
        <f>Mais!G14</f>
        <v>2924</v>
      </c>
      <c r="H14" s="40">
        <f>Mais!H14</f>
        <v>1372</v>
      </c>
      <c r="I14" s="26"/>
      <c r="J14" s="42">
        <f t="shared" si="0"/>
        <v>6196.7975206611573</v>
      </c>
      <c r="K14" s="42">
        <f t="shared" si="1"/>
        <v>6615.6775206611574</v>
      </c>
      <c r="L14" s="30"/>
      <c r="M14" s="44">
        <v>0</v>
      </c>
      <c r="N14" s="44">
        <v>1000</v>
      </c>
      <c r="O14" s="44">
        <f>1186.37603305785+'Input en resultaat'!K$7+'Input en resultaat'!M$7</f>
        <v>1186.37603305785</v>
      </c>
      <c r="P14" s="29"/>
      <c r="Q14" s="81">
        <v>5</v>
      </c>
      <c r="R14" s="118">
        <v>2.4950413223140493</v>
      </c>
      <c r="S14" s="118">
        <v>0.41984848484848475</v>
      </c>
      <c r="T14" s="29"/>
      <c r="U14" s="122">
        <f>Q14*'Input en resultaat'!M$23+R14*AD$6+S14*AD$5</f>
        <v>7909.173553719007</v>
      </c>
      <c r="V14" s="14">
        <v>0</v>
      </c>
      <c r="W14" s="112">
        <f t="shared" si="5"/>
        <v>0</v>
      </c>
      <c r="X14" s="124">
        <f>1.87*Q14*'Input en resultaat'!M$25</f>
        <v>7.4800000000000013</v>
      </c>
      <c r="Y14" s="16">
        <f t="shared" si="2"/>
        <v>418.88000000000005</v>
      </c>
      <c r="Z14" s="17">
        <f>'Input en resultaat'!M$30+'Input en resultaat'!M$31</f>
        <v>474</v>
      </c>
      <c r="AB14" s="334"/>
      <c r="AC14" s="334"/>
      <c r="AD14" s="334"/>
      <c r="AE14" s="334"/>
    </row>
    <row r="15" spans="1:49" x14ac:dyDescent="0.3">
      <c r="A15" s="23">
        <v>2033</v>
      </c>
      <c r="B15" s="35">
        <f t="shared" si="3"/>
        <v>17072</v>
      </c>
      <c r="C15" s="36">
        <f t="shared" si="4"/>
        <v>15104.700826446286</v>
      </c>
      <c r="D15" s="36">
        <f t="shared" si="4"/>
        <v>24211.196826446285</v>
      </c>
      <c r="E15" s="26"/>
      <c r="F15" s="40">
        <f>Mais!F15</f>
        <v>1552</v>
      </c>
      <c r="G15" s="40">
        <f>Mais!G15</f>
        <v>2924</v>
      </c>
      <c r="H15" s="40">
        <f>Mais!H15</f>
        <v>1372</v>
      </c>
      <c r="I15" s="26"/>
      <c r="J15" s="42">
        <f t="shared" si="0"/>
        <v>6621.6687327823711</v>
      </c>
      <c r="K15" s="42">
        <f t="shared" si="1"/>
        <v>7124.324732782371</v>
      </c>
      <c r="L15" s="30"/>
      <c r="M15" s="44">
        <v>0</v>
      </c>
      <c r="N15" s="44">
        <v>1000</v>
      </c>
      <c r="O15" s="44">
        <f>1261.35330578512+'Input en resultaat'!K$7+'Input en resultaat'!M$7</f>
        <v>1261.35330578512</v>
      </c>
      <c r="P15" s="29"/>
      <c r="Q15" s="81">
        <v>6</v>
      </c>
      <c r="R15" s="118">
        <v>2.4950413223140493</v>
      </c>
      <c r="S15" s="118">
        <v>0.48982323232323222</v>
      </c>
      <c r="T15" s="29"/>
      <c r="U15" s="122">
        <f>Q15*'Input en resultaat'!M$23+R15*AD$6+S15*AD$5</f>
        <v>8409.0220385674911</v>
      </c>
      <c r="V15" s="14">
        <v>0</v>
      </c>
      <c r="W15" s="112">
        <f t="shared" si="5"/>
        <v>0</v>
      </c>
      <c r="X15" s="124">
        <f>1.87*Q15*'Input en resultaat'!M$25</f>
        <v>8.9760000000000009</v>
      </c>
      <c r="Y15" s="16">
        <f t="shared" si="2"/>
        <v>502.65600000000006</v>
      </c>
      <c r="Z15" s="17">
        <f>'Input en resultaat'!M$30+'Input en resultaat'!M$31</f>
        <v>474</v>
      </c>
      <c r="AB15" s="334"/>
      <c r="AC15" s="334"/>
      <c r="AD15" s="334"/>
      <c r="AE15" s="334"/>
    </row>
    <row r="16" spans="1:49" x14ac:dyDescent="0.3">
      <c r="A16" s="23">
        <v>2034</v>
      </c>
      <c r="B16" s="35">
        <f t="shared" si="3"/>
        <v>18624</v>
      </c>
      <c r="C16" s="36">
        <f t="shared" si="4"/>
        <v>21726.369559228657</v>
      </c>
      <c r="D16" s="36">
        <f t="shared" si="4"/>
        <v>31335.521559228655</v>
      </c>
      <c r="E16" s="26"/>
      <c r="F16" s="40">
        <f>Mais!F16</f>
        <v>1552</v>
      </c>
      <c r="G16" s="40">
        <f>Mais!G16</f>
        <v>2924</v>
      </c>
      <c r="H16" s="40">
        <f>Mais!H16</f>
        <v>1372</v>
      </c>
      <c r="I16" s="26"/>
      <c r="J16" s="42">
        <f t="shared" si="0"/>
        <v>6621.6687327823711</v>
      </c>
      <c r="K16" s="42">
        <f t="shared" si="1"/>
        <v>7124.324732782371</v>
      </c>
      <c r="L16" s="30"/>
      <c r="M16" s="44">
        <v>0</v>
      </c>
      <c r="N16" s="44">
        <v>1000</v>
      </c>
      <c r="O16" s="44">
        <f>1261.35330578512+'Input en resultaat'!K$7+'Input en resultaat'!M$7</f>
        <v>1261.35330578512</v>
      </c>
      <c r="P16" s="29"/>
      <c r="Q16" s="81">
        <v>6</v>
      </c>
      <c r="R16" s="118">
        <v>2.4950413223140493</v>
      </c>
      <c r="S16" s="118">
        <v>0.48982323232323222</v>
      </c>
      <c r="T16" s="29"/>
      <c r="U16" s="122">
        <f>Q16*'Input en resultaat'!M$23+R16*AD$6+S16*AD$5</f>
        <v>8409.0220385674911</v>
      </c>
      <c r="V16" s="14">
        <v>0</v>
      </c>
      <c r="W16" s="112">
        <f t="shared" si="5"/>
        <v>0</v>
      </c>
      <c r="X16" s="124">
        <f>1.87*Q16*'Input en resultaat'!M$25</f>
        <v>8.9760000000000009</v>
      </c>
      <c r="Y16" s="16">
        <f t="shared" si="2"/>
        <v>502.65600000000006</v>
      </c>
      <c r="Z16" s="17">
        <f>'Input en resultaat'!M$30+'Input en resultaat'!M$31</f>
        <v>474</v>
      </c>
      <c r="AB16" s="23" t="s">
        <v>164</v>
      </c>
      <c r="AE16" s="128">
        <f>1.25*K26</f>
        <v>6238.9778663255947</v>
      </c>
    </row>
    <row r="17" spans="1:26" x14ac:dyDescent="0.3">
      <c r="A17" s="23">
        <v>2035</v>
      </c>
      <c r="B17" s="35">
        <f t="shared" si="3"/>
        <v>20176</v>
      </c>
      <c r="C17" s="36">
        <f t="shared" si="4"/>
        <v>28348.038292011028</v>
      </c>
      <c r="D17" s="36">
        <f t="shared" si="4"/>
        <v>42659.846292011025</v>
      </c>
      <c r="E17" s="26"/>
      <c r="F17" s="40">
        <f>Mais!F17</f>
        <v>1552</v>
      </c>
      <c r="G17" s="40">
        <f>Mais!G17</f>
        <v>2924</v>
      </c>
      <c r="H17" s="40">
        <f>Mais!H17</f>
        <v>1372</v>
      </c>
      <c r="I17" s="26"/>
      <c r="J17" s="42">
        <f t="shared" si="0"/>
        <v>6621.6687327823711</v>
      </c>
      <c r="K17" s="42">
        <f t="shared" si="1"/>
        <v>11324.324732782372</v>
      </c>
      <c r="L17" s="30"/>
      <c r="M17" s="44">
        <v>0</v>
      </c>
      <c r="N17" s="44">
        <v>1000</v>
      </c>
      <c r="O17" s="44">
        <f>1261.35330578512+'Input en resultaat'!K$7+'Input en resultaat'!M$7</f>
        <v>1261.35330578512</v>
      </c>
      <c r="P17" s="29"/>
      <c r="Q17" s="81">
        <v>6</v>
      </c>
      <c r="R17" s="118">
        <v>2.4950413223140493</v>
      </c>
      <c r="S17" s="118">
        <v>0.48982323232323222</v>
      </c>
      <c r="T17" s="29"/>
      <c r="U17" s="122">
        <f>Q17*'Input en resultaat'!M$23+R17*AD$6+S17*AD$5</f>
        <v>8409.0220385674911</v>
      </c>
      <c r="V17" s="14">
        <f>(8*15)</f>
        <v>120</v>
      </c>
      <c r="W17" s="112">
        <f t="shared" si="5"/>
        <v>4200</v>
      </c>
      <c r="X17" s="124">
        <f>1.87*Q17*'Input en resultaat'!M$25</f>
        <v>8.9760000000000009</v>
      </c>
      <c r="Y17" s="16">
        <f t="shared" si="2"/>
        <v>502.65600000000006</v>
      </c>
      <c r="Z17" s="17">
        <f>'Input en resultaat'!M$30+'Input en resultaat'!M$31</f>
        <v>474</v>
      </c>
    </row>
    <row r="18" spans="1:26" x14ac:dyDescent="0.3">
      <c r="A18" s="23">
        <v>2036</v>
      </c>
      <c r="B18" s="35">
        <f t="shared" si="3"/>
        <v>21728</v>
      </c>
      <c r="C18" s="36">
        <f t="shared" si="4"/>
        <v>34969.707024793403</v>
      </c>
      <c r="D18" s="36">
        <f t="shared" si="4"/>
        <v>49784.171024793395</v>
      </c>
      <c r="E18" s="26"/>
      <c r="F18" s="40">
        <f>Mais!F18</f>
        <v>1552</v>
      </c>
      <c r="G18" s="40">
        <f>Mais!G18</f>
        <v>2924</v>
      </c>
      <c r="H18" s="40">
        <f>Mais!H18</f>
        <v>1372</v>
      </c>
      <c r="I18" s="26"/>
      <c r="J18" s="42">
        <f t="shared" si="0"/>
        <v>6621.6687327823711</v>
      </c>
      <c r="K18" s="42">
        <f t="shared" si="1"/>
        <v>7124.324732782371</v>
      </c>
      <c r="L18" s="30"/>
      <c r="M18" s="44">
        <v>0</v>
      </c>
      <c r="N18" s="44">
        <v>1000</v>
      </c>
      <c r="O18" s="44">
        <f>1261.35330578512+'Input en resultaat'!K$7+'Input en resultaat'!M$7</f>
        <v>1261.35330578512</v>
      </c>
      <c r="P18" s="29"/>
      <c r="Q18" s="81">
        <v>6</v>
      </c>
      <c r="R18" s="118">
        <v>2.4950413223140493</v>
      </c>
      <c r="S18" s="118">
        <v>0.48982323232323222</v>
      </c>
      <c r="T18" s="29"/>
      <c r="U18" s="122">
        <f>Q18*'Input en resultaat'!M$23+R18*AD$6+S18*AD$5</f>
        <v>8409.0220385674911</v>
      </c>
      <c r="V18" s="14">
        <v>0</v>
      </c>
      <c r="W18" s="112">
        <f t="shared" si="5"/>
        <v>0</v>
      </c>
      <c r="X18" s="124">
        <f>1.87*Q18*'Input en resultaat'!M$25</f>
        <v>8.9760000000000009</v>
      </c>
      <c r="Y18" s="16">
        <f t="shared" si="2"/>
        <v>502.65600000000006</v>
      </c>
      <c r="Z18" s="17">
        <f>'Input en resultaat'!M$30+'Input en resultaat'!M$31</f>
        <v>474</v>
      </c>
    </row>
    <row r="19" spans="1:26" x14ac:dyDescent="0.3">
      <c r="A19" s="23">
        <v>2037</v>
      </c>
      <c r="B19" s="35">
        <f t="shared" si="3"/>
        <v>23280</v>
      </c>
      <c r="C19" s="36">
        <f t="shared" si="4"/>
        <v>41591.375757575777</v>
      </c>
      <c r="D19" s="36">
        <f t="shared" si="4"/>
        <v>56908.495757575765</v>
      </c>
      <c r="E19" s="26"/>
      <c r="F19" s="40">
        <f>Mais!F19</f>
        <v>1552</v>
      </c>
      <c r="G19" s="40">
        <f>Mais!G19</f>
        <v>2924</v>
      </c>
      <c r="H19" s="40">
        <f>Mais!H19</f>
        <v>1372</v>
      </c>
      <c r="I19" s="26"/>
      <c r="J19" s="42">
        <f t="shared" si="0"/>
        <v>6621.6687327823711</v>
      </c>
      <c r="K19" s="42">
        <f t="shared" si="1"/>
        <v>7124.324732782371</v>
      </c>
      <c r="L19" s="30"/>
      <c r="M19" s="44">
        <v>0</v>
      </c>
      <c r="N19" s="44">
        <v>1000</v>
      </c>
      <c r="O19" s="44">
        <f>1261.35330578512+'Input en resultaat'!K$7+'Input en resultaat'!M$7</f>
        <v>1261.35330578512</v>
      </c>
      <c r="P19" s="29"/>
      <c r="Q19" s="81">
        <v>6</v>
      </c>
      <c r="R19" s="118">
        <v>2.4950413223140493</v>
      </c>
      <c r="S19" s="118">
        <v>0.48982323232323222</v>
      </c>
      <c r="T19" s="29"/>
      <c r="U19" s="122">
        <f>Q19*'Input en resultaat'!M$23+R19*AD$6+S19*AD$5</f>
        <v>8409.0220385674911</v>
      </c>
      <c r="V19" s="14">
        <v>0</v>
      </c>
      <c r="W19" s="112">
        <f t="shared" si="5"/>
        <v>0</v>
      </c>
      <c r="X19" s="124">
        <f>1.87*Q19*'Input en resultaat'!M$25</f>
        <v>8.9760000000000009</v>
      </c>
      <c r="Y19" s="16">
        <f t="shared" si="2"/>
        <v>502.65600000000006</v>
      </c>
      <c r="Z19" s="17">
        <f>'Input en resultaat'!M$30+'Input en resultaat'!M$31</f>
        <v>474</v>
      </c>
    </row>
    <row r="20" spans="1:26" x14ac:dyDescent="0.3">
      <c r="A20" s="23">
        <v>2038</v>
      </c>
      <c r="B20" s="35">
        <f t="shared" si="3"/>
        <v>24832</v>
      </c>
      <c r="C20" s="36">
        <f t="shared" si="4"/>
        <v>48213.044490358152</v>
      </c>
      <c r="D20" s="36">
        <f t="shared" si="4"/>
        <v>64032.820490358135</v>
      </c>
      <c r="E20" s="26"/>
      <c r="F20" s="40">
        <f>Mais!F20</f>
        <v>1552</v>
      </c>
      <c r="G20" s="40">
        <f>Mais!G20</f>
        <v>2924</v>
      </c>
      <c r="H20" s="40">
        <f>Mais!H20</f>
        <v>1372</v>
      </c>
      <c r="I20" s="26"/>
      <c r="J20" s="42">
        <f t="shared" si="0"/>
        <v>6621.6687327823711</v>
      </c>
      <c r="K20" s="42">
        <f t="shared" si="1"/>
        <v>7124.324732782371</v>
      </c>
      <c r="L20" s="30"/>
      <c r="M20" s="44">
        <v>0</v>
      </c>
      <c r="N20" s="44">
        <v>1000</v>
      </c>
      <c r="O20" s="44">
        <f>1261.35330578512+'Input en resultaat'!K$7+'Input en resultaat'!M$7</f>
        <v>1261.35330578512</v>
      </c>
      <c r="P20" s="29"/>
      <c r="Q20" s="81">
        <v>6</v>
      </c>
      <c r="R20" s="118">
        <v>2.4950413223140493</v>
      </c>
      <c r="S20" s="118">
        <v>0.48982323232323222</v>
      </c>
      <c r="T20" s="29"/>
      <c r="U20" s="122">
        <f>Q20*'Input en resultaat'!M$23+R20*AD$6+S20*AD$5</f>
        <v>8409.0220385674911</v>
      </c>
      <c r="V20" s="14">
        <v>0</v>
      </c>
      <c r="W20" s="112">
        <f t="shared" si="5"/>
        <v>0</v>
      </c>
      <c r="X20" s="124">
        <f>1.87*Q20*'Input en resultaat'!M$25</f>
        <v>8.9760000000000009</v>
      </c>
      <c r="Y20" s="16">
        <f t="shared" si="2"/>
        <v>502.65600000000006</v>
      </c>
      <c r="Z20" s="17">
        <f>'Input en resultaat'!M$30+'Input en resultaat'!M$31</f>
        <v>474</v>
      </c>
    </row>
    <row r="21" spans="1:26" x14ac:dyDescent="0.3">
      <c r="A21" s="23">
        <v>2039</v>
      </c>
      <c r="B21" s="35">
        <f t="shared" si="3"/>
        <v>26384</v>
      </c>
      <c r="C21" s="36">
        <f t="shared" si="4"/>
        <v>54902.713223140527</v>
      </c>
      <c r="D21" s="36">
        <f t="shared" si="4"/>
        <v>71308.921223140511</v>
      </c>
      <c r="E21" s="26"/>
      <c r="F21" s="40">
        <f>Mais!F21</f>
        <v>1552</v>
      </c>
      <c r="G21" s="40">
        <f>Mais!G21</f>
        <v>2924</v>
      </c>
      <c r="H21" s="40">
        <f>Mais!H21</f>
        <v>1372</v>
      </c>
      <c r="I21" s="26"/>
      <c r="J21" s="42">
        <f t="shared" si="0"/>
        <v>6689.6687327823711</v>
      </c>
      <c r="K21" s="42">
        <f t="shared" si="1"/>
        <v>7276.1007327823709</v>
      </c>
      <c r="L21" s="30"/>
      <c r="M21" s="44">
        <v>0</v>
      </c>
      <c r="N21" s="44">
        <v>1000</v>
      </c>
      <c r="O21" s="44">
        <f>1273.35330578512+'Input en resultaat'!K$7+'Input en resultaat'!M$7</f>
        <v>1273.35330578512</v>
      </c>
      <c r="P21" s="29"/>
      <c r="Q21" s="81">
        <v>7</v>
      </c>
      <c r="R21" s="118">
        <v>2.4950413223140493</v>
      </c>
      <c r="S21" s="118">
        <v>0.48982323232323222</v>
      </c>
      <c r="T21" s="29"/>
      <c r="U21" s="122">
        <f>Q21*'Input en resultaat'!M$23+R21*AD$6+S21*AD$5</f>
        <v>8489.0220385674911</v>
      </c>
      <c r="V21" s="14">
        <v>0</v>
      </c>
      <c r="W21" s="112">
        <f t="shared" si="5"/>
        <v>0</v>
      </c>
      <c r="X21" s="124">
        <f>1.87*Q21*'Input en resultaat'!M$25</f>
        <v>10.472000000000001</v>
      </c>
      <c r="Y21" s="16">
        <f t="shared" si="2"/>
        <v>586.43200000000002</v>
      </c>
      <c r="Z21" s="17">
        <f>'Input en resultaat'!M$30+'Input en resultaat'!M$31</f>
        <v>474</v>
      </c>
    </row>
    <row r="22" spans="1:26" x14ac:dyDescent="0.3">
      <c r="A22" s="23">
        <v>2040</v>
      </c>
      <c r="B22" s="35">
        <f t="shared" si="3"/>
        <v>27936</v>
      </c>
      <c r="C22" s="36">
        <f t="shared" ref="C22:D25" si="6">C21+J22</f>
        <v>62000.381955922901</v>
      </c>
      <c r="D22" s="36">
        <f t="shared" si="6"/>
        <v>79495.677955922874</v>
      </c>
      <c r="E22" s="26"/>
      <c r="F22" s="40">
        <f>Mais!F22</f>
        <v>1552</v>
      </c>
      <c r="G22" s="40">
        <f>Mais!G22</f>
        <v>2924</v>
      </c>
      <c r="H22" s="40">
        <f>Mais!H22</f>
        <v>1372</v>
      </c>
      <c r="I22" s="26"/>
      <c r="J22" s="42">
        <f t="shared" si="0"/>
        <v>7097.6687327823711</v>
      </c>
      <c r="K22" s="42">
        <f t="shared" si="1"/>
        <v>8186.7567327823708</v>
      </c>
      <c r="L22" s="30"/>
      <c r="M22" s="44">
        <v>0</v>
      </c>
      <c r="N22" s="44">
        <v>1000</v>
      </c>
      <c r="O22" s="44">
        <f>1345.35330578512+'Input en resultaat'!K$7+'Input en resultaat'!M$7</f>
        <v>1345.35330578512</v>
      </c>
      <c r="P22" s="29"/>
      <c r="Q22" s="81">
        <v>13</v>
      </c>
      <c r="R22" s="118">
        <v>2.4950413223140493</v>
      </c>
      <c r="S22" s="118">
        <v>0.48982323232323222</v>
      </c>
      <c r="T22" s="29"/>
      <c r="U22" s="122">
        <f>Q22*'Input en resultaat'!M$23+R22*AD$6+S22*AD$5</f>
        <v>8969.0220385674911</v>
      </c>
      <c r="V22" s="14">
        <v>0</v>
      </c>
      <c r="W22" s="112">
        <f t="shared" si="5"/>
        <v>0</v>
      </c>
      <c r="X22" s="124">
        <f>1.87*Q22*'Input en resultaat'!M$25</f>
        <v>19.448000000000004</v>
      </c>
      <c r="Y22" s="16">
        <f t="shared" si="2"/>
        <v>1089.0880000000002</v>
      </c>
      <c r="Z22" s="17">
        <f>'Input en resultaat'!M$30+'Input en resultaat'!M$31</f>
        <v>474</v>
      </c>
    </row>
    <row r="23" spans="1:26" x14ac:dyDescent="0.3">
      <c r="A23" s="23">
        <v>2041</v>
      </c>
      <c r="B23" s="35">
        <f t="shared" si="3"/>
        <v>29488</v>
      </c>
      <c r="C23" s="36">
        <f t="shared" si="6"/>
        <v>69166.050688705276</v>
      </c>
      <c r="D23" s="36">
        <f t="shared" si="6"/>
        <v>87834.210688705251</v>
      </c>
      <c r="E23" s="26"/>
      <c r="F23" s="40">
        <f>Mais!F23</f>
        <v>1552</v>
      </c>
      <c r="G23" s="40">
        <f>Mais!G23</f>
        <v>2924</v>
      </c>
      <c r="H23" s="40">
        <f>Mais!H23</f>
        <v>1372</v>
      </c>
      <c r="I23" s="26"/>
      <c r="J23" s="42">
        <f t="shared" si="0"/>
        <v>7165.6687327823711</v>
      </c>
      <c r="K23" s="42">
        <f t="shared" si="1"/>
        <v>8338.5327327823707</v>
      </c>
      <c r="L23" s="30"/>
      <c r="M23" s="44">
        <v>0</v>
      </c>
      <c r="N23" s="44">
        <v>1000</v>
      </c>
      <c r="O23" s="44">
        <f>1357.35330578512+'Input en resultaat'!K$7+'Input en resultaat'!M$7</f>
        <v>1357.35330578512</v>
      </c>
      <c r="P23" s="29"/>
      <c r="Q23" s="81">
        <v>14</v>
      </c>
      <c r="R23" s="118">
        <v>2.4950413223140493</v>
      </c>
      <c r="S23" s="118">
        <v>0.48982323232323222</v>
      </c>
      <c r="T23" s="29"/>
      <c r="U23" s="122">
        <f>Q23*'Input en resultaat'!M$23+R23*AD$6+S23*AD$5</f>
        <v>9049.0220385674911</v>
      </c>
      <c r="V23" s="14">
        <v>0</v>
      </c>
      <c r="W23" s="112">
        <f t="shared" si="5"/>
        <v>0</v>
      </c>
      <c r="X23" s="124">
        <f>1.87*Q23*'Input en resultaat'!M$25</f>
        <v>20.944000000000003</v>
      </c>
      <c r="Y23" s="16">
        <f t="shared" si="2"/>
        <v>1172.864</v>
      </c>
      <c r="Z23" s="17">
        <f>'Input en resultaat'!M$30+'Input en resultaat'!M$31</f>
        <v>474</v>
      </c>
    </row>
    <row r="24" spans="1:26" x14ac:dyDescent="0.3">
      <c r="A24" s="23">
        <v>2042</v>
      </c>
      <c r="B24" s="35">
        <f t="shared" si="3"/>
        <v>31040</v>
      </c>
      <c r="C24" s="36">
        <f t="shared" si="6"/>
        <v>76399.719421487651</v>
      </c>
      <c r="D24" s="36">
        <f t="shared" si="6"/>
        <v>96324.519421487625</v>
      </c>
      <c r="E24" s="26"/>
      <c r="F24" s="40">
        <f>Mais!F24</f>
        <v>1552</v>
      </c>
      <c r="G24" s="40">
        <f>Mais!G24</f>
        <v>2924</v>
      </c>
      <c r="H24" s="40">
        <f>Mais!H24</f>
        <v>1372</v>
      </c>
      <c r="I24" s="26"/>
      <c r="J24" s="42">
        <f t="shared" si="0"/>
        <v>7233.6687327823711</v>
      </c>
      <c r="K24" s="42">
        <f t="shared" si="1"/>
        <v>8490.3087327823705</v>
      </c>
      <c r="L24" s="30"/>
      <c r="M24" s="44">
        <v>0</v>
      </c>
      <c r="N24" s="44">
        <v>1000</v>
      </c>
      <c r="O24" s="44">
        <f>1369.35330578512+'Input en resultaat'!K$7+'Input en resultaat'!M$7</f>
        <v>1369.35330578512</v>
      </c>
      <c r="P24" s="29"/>
      <c r="Q24" s="81">
        <v>15</v>
      </c>
      <c r="R24" s="118">
        <v>2.4950413223140493</v>
      </c>
      <c r="S24" s="118">
        <v>0.48982323232323222</v>
      </c>
      <c r="T24" s="29"/>
      <c r="U24" s="122">
        <f>Q24*'Input en resultaat'!M$23+R24*AD$6+S24*AD$5</f>
        <v>9129.0220385674911</v>
      </c>
      <c r="V24" s="14">
        <v>0</v>
      </c>
      <c r="W24" s="112">
        <f t="shared" si="5"/>
        <v>0</v>
      </c>
      <c r="X24" s="124">
        <f>1.87*Q24*'Input en resultaat'!M$25</f>
        <v>22.44</v>
      </c>
      <c r="Y24" s="16">
        <f t="shared" si="2"/>
        <v>1256.6400000000001</v>
      </c>
      <c r="Z24" s="17">
        <f>'Input en resultaat'!M$30+'Input en resultaat'!M$31</f>
        <v>474</v>
      </c>
    </row>
    <row r="25" spans="1:26" ht="16.2" thickBot="1" x14ac:dyDescent="0.35">
      <c r="A25" s="23">
        <v>2043</v>
      </c>
      <c r="B25" s="35">
        <f t="shared" si="3"/>
        <v>32592</v>
      </c>
      <c r="C25" s="36">
        <f t="shared" si="6"/>
        <v>83633.388154270026</v>
      </c>
      <c r="D25" s="36">
        <f t="shared" si="6"/>
        <v>104814.82815427</v>
      </c>
      <c r="E25" s="26"/>
      <c r="F25" s="40">
        <f>Mais!F25</f>
        <v>1552</v>
      </c>
      <c r="G25" s="40">
        <f>Mais!G25</f>
        <v>2924</v>
      </c>
      <c r="H25" s="40">
        <f>Mais!H25</f>
        <v>1372</v>
      </c>
      <c r="I25" s="26"/>
      <c r="J25" s="42">
        <f t="shared" si="0"/>
        <v>7233.6687327823711</v>
      </c>
      <c r="K25" s="42">
        <f t="shared" si="1"/>
        <v>8490.3087327823705</v>
      </c>
      <c r="L25" s="30"/>
      <c r="M25" s="44">
        <f t="shared" ref="M25:N25" si="7">M24</f>
        <v>0</v>
      </c>
      <c r="N25" s="44">
        <f t="shared" si="7"/>
        <v>1000</v>
      </c>
      <c r="O25" s="44">
        <f>1369.35330578512+'Input en resultaat'!K$7+'Input en resultaat'!M$7</f>
        <v>1369.35330578512</v>
      </c>
      <c r="P25" s="29"/>
      <c r="Q25" s="81">
        <v>15</v>
      </c>
      <c r="R25" s="118">
        <v>2.4950413223140493</v>
      </c>
      <c r="S25" s="118">
        <v>0.48982323232323222</v>
      </c>
      <c r="T25" s="29"/>
      <c r="U25" s="122">
        <f>Q25*'Input en resultaat'!M$23+R25*AD$6+S25*AD$5</f>
        <v>9129.0220385674911</v>
      </c>
      <c r="V25" s="19">
        <v>0</v>
      </c>
      <c r="W25" s="113">
        <f t="shared" si="5"/>
        <v>0</v>
      </c>
      <c r="X25" s="125">
        <f>1.87*Q25*'Input en resultaat'!M$25</f>
        <v>22.44</v>
      </c>
      <c r="Y25" s="21">
        <f t="shared" si="2"/>
        <v>1256.6400000000001</v>
      </c>
      <c r="Z25" s="22">
        <f>'Input en resultaat'!M$30+'Input en resultaat'!M$31</f>
        <v>474</v>
      </c>
    </row>
    <row r="26" spans="1:26" s="23" customFormat="1" x14ac:dyDescent="0.3">
      <c r="B26" s="30"/>
      <c r="D26" s="37" t="s">
        <v>78</v>
      </c>
      <c r="E26" s="31"/>
      <c r="F26" s="38">
        <f>AVERAGE(F5:F25)</f>
        <v>1552</v>
      </c>
      <c r="G26" s="31"/>
      <c r="H26" s="31"/>
      <c r="I26" s="31"/>
      <c r="J26" s="38">
        <f>AVERAGE(J5:J25)</f>
        <v>3982.5422930604773</v>
      </c>
      <c r="K26" s="38">
        <f>AVERAGE(K5:K25)</f>
        <v>4991.1822930604758</v>
      </c>
    </row>
    <row r="27" spans="1:26" s="23" customFormat="1" x14ac:dyDescent="0.3"/>
    <row r="28" spans="1:26" s="23" customFormat="1" x14ac:dyDescent="0.3"/>
    <row r="29" spans="1:26" s="23" customFormat="1" x14ac:dyDescent="0.3"/>
    <row r="30" spans="1:26" s="23" customFormat="1" x14ac:dyDescent="0.3"/>
    <row r="31" spans="1:26" s="23" customFormat="1" x14ac:dyDescent="0.3"/>
    <row r="32" spans="1:26" s="23" customFormat="1" x14ac:dyDescent="0.3"/>
    <row r="33" s="23" customFormat="1" x14ac:dyDescent="0.3"/>
    <row r="34" s="23" customFormat="1" x14ac:dyDescent="0.3"/>
    <row r="35" s="23" customFormat="1" x14ac:dyDescent="0.3"/>
    <row r="36" s="23" customFormat="1" x14ac:dyDescent="0.3"/>
    <row r="37" s="23" customFormat="1" x14ac:dyDescent="0.3"/>
    <row r="38" s="23" customFormat="1" x14ac:dyDescent="0.3"/>
    <row r="39" s="23" customFormat="1" x14ac:dyDescent="0.3"/>
    <row r="40" s="23" customFormat="1" x14ac:dyDescent="0.3"/>
    <row r="41" s="23" customFormat="1" x14ac:dyDescent="0.3"/>
    <row r="42" s="23" customFormat="1" x14ac:dyDescent="0.3"/>
    <row r="43" s="23" customFormat="1" x14ac:dyDescent="0.3"/>
    <row r="44" s="23" customFormat="1" x14ac:dyDescent="0.3"/>
    <row r="45" s="23" customFormat="1" x14ac:dyDescent="0.3"/>
    <row r="46" s="23" customFormat="1" x14ac:dyDescent="0.3"/>
    <row r="47" s="23" customFormat="1" x14ac:dyDescent="0.3"/>
    <row r="48" s="23" customFormat="1" x14ac:dyDescent="0.3"/>
    <row r="49" s="23" customFormat="1" x14ac:dyDescent="0.3"/>
    <row r="50" s="23" customFormat="1" x14ac:dyDescent="0.3"/>
    <row r="51" s="23" customFormat="1" x14ac:dyDescent="0.3"/>
    <row r="52" s="23" customFormat="1" x14ac:dyDescent="0.3"/>
    <row r="53" s="23" customFormat="1" x14ac:dyDescent="0.3"/>
    <row r="54" s="23" customFormat="1" x14ac:dyDescent="0.3"/>
    <row r="55" s="23" customFormat="1" x14ac:dyDescent="0.3"/>
    <row r="56" s="23" customFormat="1" x14ac:dyDescent="0.3"/>
    <row r="57" s="23" customFormat="1" x14ac:dyDescent="0.3"/>
    <row r="58" s="23" customFormat="1" x14ac:dyDescent="0.3"/>
    <row r="59" s="23" customFormat="1" x14ac:dyDescent="0.3"/>
    <row r="60" s="23" customFormat="1" x14ac:dyDescent="0.3"/>
    <row r="61" s="23" customFormat="1" x14ac:dyDescent="0.3"/>
    <row r="62" s="23" customFormat="1" x14ac:dyDescent="0.3"/>
    <row r="63" s="23" customFormat="1" x14ac:dyDescent="0.3"/>
    <row r="64" s="23" customFormat="1" x14ac:dyDescent="0.3"/>
    <row r="65" s="23" customFormat="1" x14ac:dyDescent="0.3"/>
    <row r="66" s="23" customFormat="1" x14ac:dyDescent="0.3"/>
    <row r="67" s="23" customFormat="1" x14ac:dyDescent="0.3"/>
    <row r="68" s="23" customFormat="1" x14ac:dyDescent="0.3"/>
    <row r="69" s="23" customFormat="1" x14ac:dyDescent="0.3"/>
    <row r="70" s="23" customFormat="1" x14ac:dyDescent="0.3"/>
    <row r="71" s="23" customFormat="1" x14ac:dyDescent="0.3"/>
    <row r="72" s="23" customFormat="1" x14ac:dyDescent="0.3"/>
    <row r="73" s="23" customFormat="1" x14ac:dyDescent="0.3"/>
    <row r="74" s="23" customFormat="1" x14ac:dyDescent="0.3"/>
    <row r="75" s="23" customFormat="1" x14ac:dyDescent="0.3"/>
    <row r="76" s="23" customFormat="1" x14ac:dyDescent="0.3"/>
    <row r="77" s="23" customFormat="1" x14ac:dyDescent="0.3"/>
    <row r="78" s="23" customFormat="1" x14ac:dyDescent="0.3"/>
    <row r="79" s="23" customFormat="1" x14ac:dyDescent="0.3"/>
    <row r="80" s="23" customFormat="1" x14ac:dyDescent="0.3"/>
    <row r="81" s="23" customFormat="1" x14ac:dyDescent="0.3"/>
    <row r="82" s="23" customFormat="1" x14ac:dyDescent="0.3"/>
    <row r="83" s="23" customFormat="1" x14ac:dyDescent="0.3"/>
    <row r="84" s="23" customFormat="1" x14ac:dyDescent="0.3"/>
    <row r="85" s="23" customFormat="1" x14ac:dyDescent="0.3"/>
    <row r="86" s="23" customFormat="1" x14ac:dyDescent="0.3"/>
    <row r="87" s="23" customFormat="1" x14ac:dyDescent="0.3"/>
    <row r="88" s="23" customFormat="1" x14ac:dyDescent="0.3"/>
    <row r="89" s="23" customFormat="1" x14ac:dyDescent="0.3"/>
    <row r="90" s="23" customFormat="1" x14ac:dyDescent="0.3"/>
    <row r="91" s="23" customFormat="1" x14ac:dyDescent="0.3"/>
    <row r="92" s="23" customFormat="1" x14ac:dyDescent="0.3"/>
    <row r="93" s="23" customFormat="1" x14ac:dyDescent="0.3"/>
    <row r="94" s="23" customFormat="1" x14ac:dyDescent="0.3"/>
    <row r="95" s="23" customFormat="1" x14ac:dyDescent="0.3"/>
    <row r="96" s="23" customFormat="1" x14ac:dyDescent="0.3"/>
    <row r="97" s="23" customFormat="1" x14ac:dyDescent="0.3"/>
    <row r="98" s="23" customFormat="1" x14ac:dyDescent="0.3"/>
    <row r="99" s="23" customFormat="1" x14ac:dyDescent="0.3"/>
    <row r="100" s="23" customFormat="1" x14ac:dyDescent="0.3"/>
    <row r="101" s="23" customFormat="1" x14ac:dyDescent="0.3"/>
    <row r="102" s="23" customFormat="1" x14ac:dyDescent="0.3"/>
    <row r="103" s="23" customFormat="1" x14ac:dyDescent="0.3"/>
    <row r="104" s="23" customFormat="1" x14ac:dyDescent="0.3"/>
    <row r="105" s="23" customFormat="1" x14ac:dyDescent="0.3"/>
    <row r="106" s="23" customFormat="1" x14ac:dyDescent="0.3"/>
    <row r="107" s="23" customFormat="1" x14ac:dyDescent="0.3"/>
    <row r="108" s="23" customFormat="1" x14ac:dyDescent="0.3"/>
    <row r="109" s="23" customFormat="1" x14ac:dyDescent="0.3"/>
    <row r="110" s="23" customFormat="1" x14ac:dyDescent="0.3"/>
    <row r="111" s="23" customFormat="1" x14ac:dyDescent="0.3"/>
    <row r="112" s="23" customFormat="1" x14ac:dyDescent="0.3"/>
    <row r="113" s="23" customFormat="1" x14ac:dyDescent="0.3"/>
    <row r="114" s="23" customFormat="1" x14ac:dyDescent="0.3"/>
    <row r="115" s="23" customFormat="1" x14ac:dyDescent="0.3"/>
    <row r="116" s="23" customFormat="1" x14ac:dyDescent="0.3"/>
    <row r="117" s="23" customFormat="1" x14ac:dyDescent="0.3"/>
    <row r="118" s="23" customFormat="1" x14ac:dyDescent="0.3"/>
    <row r="119" s="23" customFormat="1" x14ac:dyDescent="0.3"/>
    <row r="120" s="23" customFormat="1" x14ac:dyDescent="0.3"/>
    <row r="121" s="23" customFormat="1" x14ac:dyDescent="0.3"/>
    <row r="122" s="23" customFormat="1" x14ac:dyDescent="0.3"/>
    <row r="123" s="23" customFormat="1" x14ac:dyDescent="0.3"/>
    <row r="124" s="23" customFormat="1" x14ac:dyDescent="0.3"/>
  </sheetData>
  <mergeCells count="9">
    <mergeCell ref="Q2:S2"/>
    <mergeCell ref="AB11:AE15"/>
    <mergeCell ref="V4:W4"/>
    <mergeCell ref="X4:Y4"/>
    <mergeCell ref="B3:D3"/>
    <mergeCell ref="F3:H3"/>
    <mergeCell ref="J3:K3"/>
    <mergeCell ref="M3:O3"/>
    <mergeCell ref="Q3:S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0F6C-BAAE-4240-B305-B6C22F02FA34}">
  <dimension ref="A1"/>
  <sheetViews>
    <sheetView workbookViewId="0">
      <selection activeCell="I40" sqref="I40"/>
    </sheetView>
  </sheetViews>
  <sheetFormatPr defaultRowHeight="15.6"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97CA3E14B3A74F9A8A76EB05FAEFED" ma:contentTypeVersion="13" ma:contentTypeDescription="Een nieuw document maken." ma:contentTypeScope="" ma:versionID="ece46794b5c3dc61565a93f5f51bd90f">
  <xsd:schema xmlns:xsd="http://www.w3.org/2001/XMLSchema" xmlns:xs="http://www.w3.org/2001/XMLSchema" xmlns:p="http://schemas.microsoft.com/office/2006/metadata/properties" xmlns:ns2="d24fee17-94a6-4276-a624-50d9232ff61c" xmlns:ns3="403c2724-656b-475a-bb79-26c4e053c1a3" targetNamespace="http://schemas.microsoft.com/office/2006/metadata/properties" ma:root="true" ma:fieldsID="77957648bc17d8e3c5326f47c62d8aac" ns2:_="" ns3:_="">
    <xsd:import namespace="d24fee17-94a6-4276-a624-50d9232ff61c"/>
    <xsd:import namespace="403c2724-656b-475a-bb79-26c4e053c1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ee17-94a6-4276-a624-50d9232ff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65335348-d0cc-42d0-bbf2-93cbb021b06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3c2724-656b-475a-bb79-26c4e053c1a3"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45ab57ee-95b6-4d59-8e65-82aff6fd1345}" ma:internalName="TaxCatchAll" ma:showField="CatchAllData" ma:web="403c2724-656b-475a-bb79-26c4e053c1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4fee17-94a6-4276-a624-50d9232ff61c">
      <Terms xmlns="http://schemas.microsoft.com/office/infopath/2007/PartnerControls"/>
    </lcf76f155ced4ddcb4097134ff3c332f>
    <TaxCatchAll xmlns="403c2724-656b-475a-bb79-26c4e053c1a3" xsi:nil="true"/>
  </documentManagement>
</p:properties>
</file>

<file path=customXml/itemProps1.xml><?xml version="1.0" encoding="utf-8"?>
<ds:datastoreItem xmlns:ds="http://schemas.openxmlformats.org/officeDocument/2006/customXml" ds:itemID="{0B859699-CAEF-4B55-936F-1FDFEDC7E304}">
  <ds:schemaRefs>
    <ds:schemaRef ds:uri="http://schemas.microsoft.com/sharepoint/v3/contenttype/forms"/>
  </ds:schemaRefs>
</ds:datastoreItem>
</file>

<file path=customXml/itemProps2.xml><?xml version="1.0" encoding="utf-8"?>
<ds:datastoreItem xmlns:ds="http://schemas.openxmlformats.org/officeDocument/2006/customXml" ds:itemID="{2B86DBC5-F6B7-43BC-938A-ADE82699A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ee17-94a6-4276-a624-50d9232ff61c"/>
    <ds:schemaRef ds:uri="403c2724-656b-475a-bb79-26c4e053c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1AF9D-8C1F-4E78-B7BD-245C29006FC0}">
  <ds:schemaRefs>
    <ds:schemaRef ds:uri="http://schemas.microsoft.com/office/2006/metadata/properties"/>
    <ds:schemaRef ds:uri="http://schemas.microsoft.com/office/infopath/2007/PartnerControls"/>
    <ds:schemaRef ds:uri="d24fee17-94a6-4276-a624-50d9232ff61c"/>
    <ds:schemaRef ds:uri="403c2724-656b-475a-bb79-26c4e053c1a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Input en resultaat</vt:lpstr>
      <vt:lpstr>Miscanthus</vt:lpstr>
      <vt:lpstr>Zonnekroon</vt:lpstr>
      <vt:lpstr>Hennep</vt:lpstr>
      <vt:lpstr>Graan</vt:lpstr>
      <vt:lpstr>Mais</vt:lpstr>
      <vt:lpstr>Sorghum</vt:lpstr>
      <vt:lpstr>Bamboe</vt:lpstr>
      <vt:lpstr>Pauloniaboom</vt:lpstr>
      <vt:lpstr>Lisdodde</vt:lpstr>
      <vt:lpstr>FEEDBACK</vt:lpstr>
      <vt:lpstr>Hennep!Afdrukbereik</vt:lpstr>
      <vt:lpstr>'Input en resultaat'!Afdrukbereik</vt:lpstr>
      <vt:lpstr>Miscanthus!Afdrukbereik</vt:lpstr>
      <vt:lpstr>Zonnekroon!Afdrukbereik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Bauke van der Veen</dc:creator>
  <cp:keywords/>
  <dc:description/>
  <cp:lastModifiedBy>Nils Borgesius</cp:lastModifiedBy>
  <cp:revision/>
  <dcterms:created xsi:type="dcterms:W3CDTF">2022-12-23T10:01:09Z</dcterms:created>
  <dcterms:modified xsi:type="dcterms:W3CDTF">2023-05-19T10:17:51Z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0x0101008A97CA3E14B3A74F9A8A76EB05FAEFED</vt:lpwstr>
  </property>
  <property fmtid="{D5CDD505-2E9C-101B-9397-08002B2CF9AE}" pid="3" name="MediaServiceImageTags">
    <vt:lpwstr/>
  </property>
</Properties>
</file>